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testantsamsterdam.sharepoint.com/Communicatie/PR en Communicatie/16 Overig/"/>
    </mc:Choice>
  </mc:AlternateContent>
  <xr:revisionPtr revIDLastSave="0" documentId="8_{C309BE45-728E-4CF8-9B01-6C068EC36946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Totaal" sheetId="4" r:id="rId1"/>
  </sheets>
  <definedNames>
    <definedName name="_xlnm.Print_Titles" localSheetId="0">Totaal!$A:$D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5" i="4" l="1"/>
  <c r="AW15" i="4"/>
  <c r="AO15" i="4"/>
  <c r="AS15" i="4"/>
  <c r="AW12" i="4"/>
  <c r="AS12" i="4"/>
  <c r="AS10" i="4"/>
  <c r="AR10" i="4"/>
  <c r="BB10" i="4"/>
  <c r="AO7" i="4"/>
  <c r="AS7" i="4"/>
  <c r="AR7" i="4"/>
  <c r="BB12" i="4"/>
  <c r="BA12" i="4"/>
  <c r="AZ12" i="4"/>
  <c r="AY12" i="4"/>
  <c r="AX12" i="4"/>
  <c r="AV12" i="4"/>
  <c r="AU12" i="4"/>
  <c r="AT12" i="4"/>
  <c r="AQ12" i="4"/>
  <c r="AP12" i="4"/>
  <c r="AN12" i="4"/>
  <c r="AM12" i="4"/>
  <c r="AK12" i="4"/>
  <c r="AJ12" i="4"/>
  <c r="AK9" i="4"/>
  <c r="BA9" i="4"/>
  <c r="AZ9" i="4"/>
  <c r="AN9" i="4"/>
  <c r="AM9" i="4"/>
  <c r="AN5" i="4"/>
  <c r="AV5" i="4"/>
  <c r="BB5" i="4"/>
  <c r="BA5" i="4"/>
  <c r="AZ5" i="4"/>
  <c r="AY5" i="4"/>
  <c r="AX5" i="4"/>
  <c r="AU5" i="4"/>
  <c r="AT5" i="4"/>
  <c r="AQ5" i="4"/>
  <c r="AP5" i="4"/>
  <c r="AM5" i="4"/>
  <c r="AK5" i="4"/>
  <c r="AJ5" i="4"/>
  <c r="BA4" i="4" l="1"/>
  <c r="AZ4" i="4"/>
  <c r="AY4" i="4"/>
  <c r="AX4" i="4"/>
  <c r="AV4" i="4"/>
  <c r="AU4" i="4"/>
  <c r="AT4" i="4"/>
  <c r="AQ4" i="4"/>
  <c r="AP4" i="4"/>
  <c r="AN4" i="4"/>
  <c r="AM4" i="4"/>
  <c r="AL4" i="4"/>
  <c r="AK4" i="4"/>
  <c r="AJ4" i="4"/>
  <c r="BC33" i="4" l="1"/>
  <c r="AI33" i="4"/>
  <c r="AH33" i="4"/>
  <c r="AG33" i="4"/>
  <c r="AF33" i="4"/>
  <c r="AE33" i="4"/>
  <c r="AD33" i="4"/>
  <c r="R33" i="4" s="1"/>
  <c r="R34" i="4" s="1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K28" i="4" s="1"/>
  <c r="AD28" i="4"/>
  <c r="R28" i="4" s="1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J21" i="4" s="1"/>
  <c r="AM21" i="4"/>
  <c r="AL21" i="4"/>
  <c r="AK21" i="4"/>
  <c r="AJ21" i="4"/>
  <c r="AI21" i="4"/>
  <c r="AH21" i="4"/>
  <c r="AG21" i="4"/>
  <c r="AF21" i="4"/>
  <c r="AE21" i="4"/>
  <c r="AD21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R14" i="4" s="1"/>
  <c r="AD14" i="4"/>
  <c r="A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K8" i="4" s="1"/>
  <c r="S8" i="4" s="1"/>
  <c r="BC3" i="4"/>
  <c r="BB3" i="4"/>
  <c r="BA3" i="4"/>
  <c r="AZ3" i="4"/>
  <c r="AY3" i="4"/>
  <c r="AY33" i="4" s="1"/>
  <c r="AY34" i="4" s="1"/>
  <c r="AX3" i="4"/>
  <c r="AW3" i="4"/>
  <c r="AV3" i="4"/>
  <c r="AV33" i="4" s="1"/>
  <c r="AV34" i="4" s="1"/>
  <c r="AU3" i="4"/>
  <c r="AU33" i="4" s="1"/>
  <c r="AU34" i="4" s="1"/>
  <c r="AT3" i="4"/>
  <c r="AT33" i="4" s="1"/>
  <c r="AT34" i="4" s="1"/>
  <c r="AS3" i="4"/>
  <c r="AS33" i="4" s="1"/>
  <c r="AS34" i="4" s="1"/>
  <c r="AR3" i="4"/>
  <c r="AQ3" i="4"/>
  <c r="AQ33" i="4" s="1"/>
  <c r="AQ34" i="4" s="1"/>
  <c r="AP3" i="4"/>
  <c r="AO3" i="4"/>
  <c r="AO33" i="4" s="1"/>
  <c r="AO34" i="4" s="1"/>
  <c r="AN3" i="4"/>
  <c r="AM3" i="4"/>
  <c r="AL3" i="4"/>
  <c r="AL33" i="4" s="1"/>
  <c r="AL34" i="4" s="1"/>
  <c r="AK3" i="4"/>
  <c r="AJ3" i="4"/>
  <c r="AI3" i="4"/>
  <c r="AH3" i="4"/>
  <c r="AG3" i="4"/>
  <c r="AF3" i="4"/>
  <c r="AE3" i="4"/>
  <c r="K3" i="4" s="1"/>
  <c r="AD3" i="4"/>
  <c r="H28" i="4"/>
  <c r="H21" i="4"/>
  <c r="H14" i="4"/>
  <c r="H8" i="4"/>
  <c r="H3" i="4"/>
  <c r="H34" i="4"/>
  <c r="H32" i="4"/>
  <c r="H31" i="4"/>
  <c r="H30" i="4"/>
  <c r="H29" i="4"/>
  <c r="H27" i="4"/>
  <c r="H26" i="4"/>
  <c r="H25" i="4"/>
  <c r="H24" i="4"/>
  <c r="H23" i="4"/>
  <c r="H22" i="4"/>
  <c r="H16" i="4"/>
  <c r="H13" i="4"/>
  <c r="H9" i="4"/>
  <c r="H7" i="4"/>
  <c r="H6" i="4"/>
  <c r="V8" i="4"/>
  <c r="G28" i="4"/>
  <c r="F32" i="4"/>
  <c r="G32" i="4" s="1"/>
  <c r="F31" i="4"/>
  <c r="G31" i="4" s="1"/>
  <c r="F30" i="4"/>
  <c r="G30" i="4" s="1"/>
  <c r="F29" i="4"/>
  <c r="G29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13" i="4"/>
  <c r="G13" i="4" s="1"/>
  <c r="F12" i="4"/>
  <c r="G12" i="4" s="1"/>
  <c r="F11" i="4"/>
  <c r="G11" i="4" s="1"/>
  <c r="F10" i="4"/>
  <c r="G10" i="4" s="1"/>
  <c r="F9" i="4"/>
  <c r="G9" i="4" s="1"/>
  <c r="F5" i="4"/>
  <c r="G5" i="4" s="1"/>
  <c r="F6" i="4"/>
  <c r="G6" i="4" s="1"/>
  <c r="F7" i="4"/>
  <c r="G7" i="4" s="1"/>
  <c r="F4" i="4"/>
  <c r="G4" i="4" s="1"/>
  <c r="BC34" i="4"/>
  <c r="AI34" i="4"/>
  <c r="AH34" i="4"/>
  <c r="AG34" i="4"/>
  <c r="AF34" i="4"/>
  <c r="AE34" i="4"/>
  <c r="Q34" i="4"/>
  <c r="P35" i="4"/>
  <c r="O21" i="4"/>
  <c r="O14" i="4"/>
  <c r="O8" i="4"/>
  <c r="O3" i="4"/>
  <c r="V14" i="4"/>
  <c r="E33" i="4"/>
  <c r="E36" i="4" s="1"/>
  <c r="K32" i="4"/>
  <c r="S32" i="4" s="1"/>
  <c r="K31" i="4"/>
  <c r="S31" i="4" s="1"/>
  <c r="K30" i="4"/>
  <c r="S30" i="4" s="1"/>
  <c r="K29" i="4"/>
  <c r="S29" i="4" s="1"/>
  <c r="K27" i="4"/>
  <c r="S27" i="4" s="1"/>
  <c r="K26" i="4"/>
  <c r="S26" i="4" s="1"/>
  <c r="K25" i="4"/>
  <c r="S25" i="4" s="1"/>
  <c r="K24" i="4"/>
  <c r="S24" i="4" s="1"/>
  <c r="K23" i="4"/>
  <c r="S23" i="4" s="1"/>
  <c r="K22" i="4"/>
  <c r="S22" i="4" s="1"/>
  <c r="K21" i="4"/>
  <c r="S21" i="4" s="1"/>
  <c r="K20" i="4"/>
  <c r="S20" i="4" s="1"/>
  <c r="K19" i="4"/>
  <c r="S19" i="4" s="1"/>
  <c r="K18" i="4"/>
  <c r="S18" i="4" s="1"/>
  <c r="K17" i="4"/>
  <c r="S17" i="4" s="1"/>
  <c r="K16" i="4"/>
  <c r="S16" i="4" s="1"/>
  <c r="K15" i="4"/>
  <c r="S15" i="4" s="1"/>
  <c r="K14" i="4"/>
  <c r="S14" i="4" s="1"/>
  <c r="K13" i="4"/>
  <c r="S13" i="4" s="1"/>
  <c r="K12" i="4"/>
  <c r="S12" i="4" s="1"/>
  <c r="K11" i="4"/>
  <c r="S11" i="4" s="1"/>
  <c r="K10" i="4"/>
  <c r="S10" i="4" s="1"/>
  <c r="K9" i="4"/>
  <c r="S9" i="4" s="1"/>
  <c r="K7" i="4"/>
  <c r="S7" i="4" s="1"/>
  <c r="K6" i="4"/>
  <c r="S6" i="4" s="1"/>
  <c r="K5" i="4"/>
  <c r="S5" i="4" s="1"/>
  <c r="K4" i="4"/>
  <c r="S4" i="4" s="1"/>
  <c r="U15" i="4"/>
  <c r="F15" i="4" s="1"/>
  <c r="U16" i="4"/>
  <c r="F16" i="4" s="1"/>
  <c r="G16" i="4" s="1"/>
  <c r="U20" i="4"/>
  <c r="F20" i="4" s="1"/>
  <c r="G20" i="4" s="1"/>
  <c r="U19" i="4"/>
  <c r="F19" i="4" s="1"/>
  <c r="G19" i="4" s="1"/>
  <c r="U18" i="4"/>
  <c r="F18" i="4" s="1"/>
  <c r="G18" i="4" s="1"/>
  <c r="U17" i="4"/>
  <c r="F17" i="4" s="1"/>
  <c r="G17" i="4" s="1"/>
  <c r="Y21" i="4"/>
  <c r="Y14" i="4"/>
  <c r="Y8" i="4"/>
  <c r="X14" i="4"/>
  <c r="X21" i="4"/>
  <c r="X8" i="4"/>
  <c r="N21" i="4"/>
  <c r="U21" i="4"/>
  <c r="W21" i="4"/>
  <c r="N14" i="4"/>
  <c r="W14" i="4"/>
  <c r="U8" i="4"/>
  <c r="W8" i="4"/>
  <c r="N3" i="4"/>
  <c r="N8" i="4"/>
  <c r="M21" i="4"/>
  <c r="M14" i="4"/>
  <c r="M3" i="4"/>
  <c r="M8" i="4"/>
  <c r="J4" i="4"/>
  <c r="R4" i="4"/>
  <c r="J5" i="4"/>
  <c r="R5" i="4"/>
  <c r="J6" i="4"/>
  <c r="R6" i="4"/>
  <c r="J7" i="4"/>
  <c r="R7" i="4"/>
  <c r="J9" i="4"/>
  <c r="R9" i="4"/>
  <c r="J10" i="4"/>
  <c r="R10" i="4"/>
  <c r="J11" i="4"/>
  <c r="R11" i="4"/>
  <c r="J12" i="4"/>
  <c r="R12" i="4"/>
  <c r="J13" i="4"/>
  <c r="R13" i="4"/>
  <c r="J15" i="4"/>
  <c r="R15" i="4"/>
  <c r="J16" i="4"/>
  <c r="L16" i="4" s="1"/>
  <c r="P16" i="4" s="1"/>
  <c r="R16" i="4"/>
  <c r="J17" i="4"/>
  <c r="R17" i="4"/>
  <c r="J18" i="4"/>
  <c r="R18" i="4"/>
  <c r="J19" i="4"/>
  <c r="R19" i="4"/>
  <c r="J20" i="4"/>
  <c r="R20" i="4"/>
  <c r="R21" i="4"/>
  <c r="J22" i="4"/>
  <c r="R22" i="4"/>
  <c r="J23" i="4"/>
  <c r="R23" i="4"/>
  <c r="J24" i="4"/>
  <c r="L24" i="4" s="1"/>
  <c r="P24" i="4" s="1"/>
  <c r="R24" i="4"/>
  <c r="J25" i="4"/>
  <c r="R25" i="4"/>
  <c r="J26" i="4"/>
  <c r="R26" i="4"/>
  <c r="J27" i="4"/>
  <c r="R27" i="4"/>
  <c r="J28" i="4"/>
  <c r="J29" i="4"/>
  <c r="R29" i="4"/>
  <c r="J30" i="4"/>
  <c r="R30" i="4"/>
  <c r="J31" i="4"/>
  <c r="R31" i="4"/>
  <c r="J32" i="4"/>
  <c r="L32" i="4" s="1"/>
  <c r="P32" i="4" s="1"/>
  <c r="R32" i="4"/>
  <c r="R3" i="4"/>
  <c r="J14" i="4" l="1"/>
  <c r="L14" i="4" s="1"/>
  <c r="P14" i="4" s="1"/>
  <c r="AW33" i="4"/>
  <c r="AW34" i="4" s="1"/>
  <c r="AR33" i="4"/>
  <c r="AR34" i="4" s="1"/>
  <c r="BB33" i="4"/>
  <c r="BB34" i="4" s="1"/>
  <c r="AX33" i="4"/>
  <c r="AX34" i="4" s="1"/>
  <c r="AP33" i="4"/>
  <c r="AP34" i="4" s="1"/>
  <c r="AJ33" i="4"/>
  <c r="AJ34" i="4" s="1"/>
  <c r="AK33" i="4"/>
  <c r="AK34" i="4" s="1"/>
  <c r="BA33" i="4"/>
  <c r="BA34" i="4" s="1"/>
  <c r="AZ33" i="4"/>
  <c r="AZ34" i="4" s="1"/>
  <c r="AN33" i="4"/>
  <c r="AN34" i="4" s="1"/>
  <c r="J8" i="4"/>
  <c r="L8" i="4" s="1"/>
  <c r="P8" i="4" s="1"/>
  <c r="AM33" i="4"/>
  <c r="AM34" i="4" s="1"/>
  <c r="J3" i="4"/>
  <c r="AD34" i="4"/>
  <c r="R8" i="4"/>
  <c r="T8" i="4" s="1"/>
  <c r="Z8" i="4" s="1"/>
  <c r="H33" i="4"/>
  <c r="F8" i="4"/>
  <c r="G8" i="4" s="1"/>
  <c r="F21" i="4"/>
  <c r="G21" i="4" s="1"/>
  <c r="V33" i="4"/>
  <c r="V34" i="4" s="1"/>
  <c r="F14" i="4"/>
  <c r="G14" i="4" s="1"/>
  <c r="G15" i="4"/>
  <c r="F3" i="4"/>
  <c r="E34" i="4"/>
  <c r="T16" i="4"/>
  <c r="Z16" i="4" s="1"/>
  <c r="O33" i="4"/>
  <c r="O34" i="4" s="1"/>
  <c r="T7" i="4"/>
  <c r="Z7" i="4" s="1"/>
  <c r="T15" i="4"/>
  <c r="Z15" i="4" s="1"/>
  <c r="T10" i="4"/>
  <c r="Z10" i="4" s="1"/>
  <c r="T18" i="4"/>
  <c r="Z18" i="4" s="1"/>
  <c r="T31" i="4"/>
  <c r="Z31" i="4" s="1"/>
  <c r="T26" i="4"/>
  <c r="Z26" i="4" s="1"/>
  <c r="L21" i="4"/>
  <c r="P21" i="4" s="1"/>
  <c r="L13" i="4"/>
  <c r="P13" i="4" s="1"/>
  <c r="T6" i="4"/>
  <c r="Z6" i="4" s="1"/>
  <c r="T32" i="4"/>
  <c r="Z32" i="4" s="1"/>
  <c r="L30" i="4"/>
  <c r="P30" i="4" s="1"/>
  <c r="L6" i="4"/>
  <c r="P6" i="4" s="1"/>
  <c r="T23" i="4"/>
  <c r="Z23" i="4" s="1"/>
  <c r="T11" i="4"/>
  <c r="Z11" i="4" s="1"/>
  <c r="T19" i="4"/>
  <c r="Z19" i="4" s="1"/>
  <c r="T27" i="4"/>
  <c r="Z27" i="4" s="1"/>
  <c r="L26" i="4"/>
  <c r="P26" i="4" s="1"/>
  <c r="L10" i="4"/>
  <c r="T4" i="4"/>
  <c r="Z4" i="4" s="1"/>
  <c r="T12" i="4"/>
  <c r="Z12" i="4" s="1"/>
  <c r="T20" i="4"/>
  <c r="Z20" i="4" s="1"/>
  <c r="T25" i="4"/>
  <c r="Z25" i="4" s="1"/>
  <c r="T17" i="4"/>
  <c r="Z17" i="4" s="1"/>
  <c r="T9" i="4"/>
  <c r="Z9" i="4" s="1"/>
  <c r="T30" i="4"/>
  <c r="Z30" i="4" s="1"/>
  <c r="L29" i="4"/>
  <c r="P29" i="4" s="1"/>
  <c r="L5" i="4"/>
  <c r="P5" i="4" s="1"/>
  <c r="N33" i="4"/>
  <c r="N34" i="4" s="1"/>
  <c r="T24" i="4"/>
  <c r="Z24" i="4" s="1"/>
  <c r="X33" i="4"/>
  <c r="X34" i="4" s="1"/>
  <c r="W33" i="4"/>
  <c r="W34" i="4" s="1"/>
  <c r="T22" i="4"/>
  <c r="Z22" i="4" s="1"/>
  <c r="T29" i="4"/>
  <c r="Z29" i="4" s="1"/>
  <c r="T5" i="4"/>
  <c r="Z5" i="4" s="1"/>
  <c r="Y33" i="4"/>
  <c r="Y34" i="4" s="1"/>
  <c r="T21" i="4"/>
  <c r="S28" i="4"/>
  <c r="T13" i="4"/>
  <c r="Z13" i="4" s="1"/>
  <c r="T14" i="4"/>
  <c r="M33" i="4"/>
  <c r="M34" i="4" s="1"/>
  <c r="K33" i="4"/>
  <c r="K34" i="4" s="1"/>
  <c r="S3" i="4"/>
  <c r="L20" i="4"/>
  <c r="P20" i="4" s="1"/>
  <c r="L12" i="4"/>
  <c r="P12" i="4" s="1"/>
  <c r="L4" i="4"/>
  <c r="P4" i="4" s="1"/>
  <c r="L27" i="4"/>
  <c r="P27" i="4" s="1"/>
  <c r="L19" i="4"/>
  <c r="P19" i="4" s="1"/>
  <c r="L15" i="4"/>
  <c r="L11" i="4"/>
  <c r="P11" i="4" s="1"/>
  <c r="L7" i="4"/>
  <c r="L18" i="4"/>
  <c r="P18" i="4" s="1"/>
  <c r="L25" i="4"/>
  <c r="P25" i="4" s="1"/>
  <c r="L17" i="4"/>
  <c r="P17" i="4" s="1"/>
  <c r="L9" i="4"/>
  <c r="L28" i="4"/>
  <c r="P28" i="4" s="1"/>
  <c r="L22" i="4"/>
  <c r="P22" i="4" s="1"/>
  <c r="L23" i="4"/>
  <c r="P23" i="4" s="1"/>
  <c r="L31" i="4"/>
  <c r="P31" i="4" s="1"/>
  <c r="U14" i="4"/>
  <c r="J33" i="4" l="1"/>
  <c r="J34" i="4" s="1"/>
  <c r="L3" i="4"/>
  <c r="P3" i="4" s="1"/>
  <c r="G3" i="4"/>
  <c r="G33" i="4" s="1"/>
  <c r="F33" i="4"/>
  <c r="P9" i="4"/>
  <c r="P15" i="4"/>
  <c r="P10" i="4"/>
  <c r="P7" i="4"/>
  <c r="S33" i="4"/>
  <c r="T28" i="4"/>
  <c r="Z21" i="4"/>
  <c r="T3" i="4"/>
  <c r="Z14" i="4"/>
  <c r="U33" i="4"/>
  <c r="U34" i="4" s="1"/>
  <c r="L33" i="4" l="1"/>
  <c r="P33" i="4" s="1"/>
  <c r="P34" i="4" s="1"/>
  <c r="F34" i="4"/>
  <c r="T33" i="4"/>
  <c r="T34" i="4" s="1"/>
  <c r="S34" i="4"/>
  <c r="E37" i="4"/>
  <c r="E38" i="4" s="1"/>
  <c r="Z3" i="4"/>
  <c r="Z28" i="4"/>
  <c r="L34" i="4" l="1"/>
  <c r="Z33" i="4"/>
  <c r="Z34" i="4" s="1"/>
  <c r="F35" i="4"/>
  <c r="G34" i="4"/>
</calcChain>
</file>

<file path=xl/sharedStrings.xml><?xml version="1.0" encoding="utf-8"?>
<sst xmlns="http://schemas.openxmlformats.org/spreadsheetml/2006/main" count="135" uniqueCount="107">
  <si>
    <t>100.05 Beleidskader</t>
  </si>
  <si>
    <t>100.10 KB</t>
  </si>
  <si>
    <t>100.20 Bestuur</t>
  </si>
  <si>
    <t>100.20 Bovenwijks</t>
  </si>
  <si>
    <t>100.30 Belegd</t>
  </si>
  <si>
    <t>101 Eliminatie</t>
  </si>
  <si>
    <t>110 Keizersgrachtkerk</t>
  </si>
  <si>
    <t>120 Westerkerk</t>
  </si>
  <si>
    <t>130 Oudekerkgemeente</t>
  </si>
  <si>
    <t>140 Noorderkerk</t>
  </si>
  <si>
    <t>210 Nieuwendammerkerk</t>
  </si>
  <si>
    <t>240 Zinnig noord (vanaf 2023, daarvoor De Ark Midden Noord)</t>
  </si>
  <si>
    <t>250 De Ark-Bethel</t>
  </si>
  <si>
    <t>310 Nassaukerk</t>
  </si>
  <si>
    <t>320 Taize in Amsterdam</t>
  </si>
  <si>
    <t>330 Hebron</t>
  </si>
  <si>
    <t>420 Jeruzalemkerk</t>
  </si>
  <si>
    <t>440 De Regenboog</t>
  </si>
  <si>
    <t>510 Osdorp Sloten</t>
  </si>
  <si>
    <t>610 Willem de Zwijger</t>
  </si>
  <si>
    <t>620 Thomaskerk</t>
  </si>
  <si>
    <t>640 Oranjekerk</t>
  </si>
  <si>
    <t>710 Muiderkerk</t>
  </si>
  <si>
    <t>720 Eltheto</t>
  </si>
  <si>
    <t>730 Binnenwaai</t>
  </si>
  <si>
    <t>810 VVP</t>
  </si>
  <si>
    <t>Begroot 2023</t>
  </si>
  <si>
    <t>2.01.</t>
  </si>
  <si>
    <t>Baten</t>
  </si>
  <si>
    <t>2.1.1.</t>
  </si>
  <si>
    <t>Inkomsten levend geld</t>
  </si>
  <si>
    <t>2.1.4.</t>
  </si>
  <si>
    <t>Opbrengsten onroerend goed</t>
  </si>
  <si>
    <t>2.1.6.</t>
  </si>
  <si>
    <t>Opbrengsten beleggingen en intrest</t>
  </si>
  <si>
    <t>2.1.7.</t>
  </si>
  <si>
    <t>Subsidies en fondswerving</t>
  </si>
  <si>
    <t>2.02</t>
  </si>
  <si>
    <t>Directe lasten</t>
  </si>
  <si>
    <t>2.18.2</t>
  </si>
  <si>
    <t>Afdrachten levend geld</t>
  </si>
  <si>
    <t>2.6.2.</t>
  </si>
  <si>
    <t>Kosten gemeenteleven</t>
  </si>
  <si>
    <t>2.6.3.</t>
  </si>
  <si>
    <t>Kosten activiteiten pioniersplekken</t>
  </si>
  <si>
    <t>2.7.1.</t>
  </si>
  <si>
    <t>Directe kosten exploitatie onroerend goed</t>
  </si>
  <si>
    <t>2.7.1a</t>
  </si>
  <si>
    <t>Kosten beleggingen</t>
  </si>
  <si>
    <t>2.11.</t>
  </si>
  <si>
    <t>Organisatiekosten</t>
  </si>
  <si>
    <t>2.3.1.</t>
  </si>
  <si>
    <t>Inzet medewerkers</t>
  </si>
  <si>
    <t>2.4.3.</t>
  </si>
  <si>
    <t>Afschrijving Materiële vaste activa</t>
  </si>
  <si>
    <t>2.4.4.</t>
  </si>
  <si>
    <t>(Financiële) bijdragen</t>
  </si>
  <si>
    <t>2.7.2.</t>
  </si>
  <si>
    <t>Bestuurs- en beheerskosten</t>
  </si>
  <si>
    <t>2.8.1.</t>
  </si>
  <si>
    <t>Bureaukosten</t>
  </si>
  <si>
    <t>2.9.1.</t>
  </si>
  <si>
    <t>PR - Marketing - Communicatie</t>
  </si>
  <si>
    <t>2.19</t>
  </si>
  <si>
    <t>Financieel resultaat</t>
  </si>
  <si>
    <t>2.15.1</t>
  </si>
  <si>
    <t>Rentelasten en bankkosten</t>
  </si>
  <si>
    <t>3.0</t>
  </si>
  <si>
    <t>B-Resultaat incidenteel</t>
  </si>
  <si>
    <t>3.01.01</t>
  </si>
  <si>
    <t>Nalatenschappen</t>
  </si>
  <si>
    <t>3.02.01</t>
  </si>
  <si>
    <t>Incidentele baten</t>
  </si>
  <si>
    <t>3.05.01</t>
  </si>
  <si>
    <t>Herwaardering onroerend goed</t>
  </si>
  <si>
    <t>3.07.01</t>
  </si>
  <si>
    <t>Incidentele lasten</t>
  </si>
  <si>
    <t>4.0</t>
  </si>
  <si>
    <t>C-Resultaatbestemming reserves en fondsen</t>
  </si>
  <si>
    <t>4.01.01</t>
  </si>
  <si>
    <t>Resultaat ten gunste van reserves/fondsen</t>
  </si>
  <si>
    <t>4.05.01</t>
  </si>
  <si>
    <t>Resultaat ten laste van reserves/fondsen</t>
  </si>
  <si>
    <t>5.0</t>
  </si>
  <si>
    <t>D-Resultaatbestemming Algemene reserve</t>
  </si>
  <si>
    <t>5.01.01</t>
  </si>
  <si>
    <t>Resultaatbestemming Algemene reserve volgens beleid</t>
  </si>
  <si>
    <t xml:space="preserve">Wijken </t>
  </si>
  <si>
    <t>Stedelijk</t>
  </si>
  <si>
    <t>Bijdragen giften</t>
  </si>
  <si>
    <t>Huur</t>
  </si>
  <si>
    <t>Uitstel beleidskader</t>
  </si>
  <si>
    <t>Bijdrage KB</t>
  </si>
  <si>
    <t>Totaal Wijken</t>
  </si>
  <si>
    <t>Totaal Stedelijk</t>
  </si>
  <si>
    <t>Voostel Wijken</t>
  </si>
  <si>
    <t>Voorstel Stedelijk</t>
  </si>
  <si>
    <t>Voorstel 2023</t>
  </si>
  <si>
    <t>Voor maatregelen</t>
  </si>
  <si>
    <t>Maatregelen</t>
  </si>
  <si>
    <t>Na maatregelen</t>
  </si>
  <si>
    <t>Uitfaseren oud beleid</t>
  </si>
  <si>
    <t>Missionaire plekken</t>
  </si>
  <si>
    <t>Besparing KB</t>
  </si>
  <si>
    <t>Besparing Bestuur</t>
  </si>
  <si>
    <t>Besparing Bovenwijks</t>
  </si>
  <si>
    <t>Taakstelling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</si>
</sst>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name val="Calibri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DF0F4"/>
      </patternFill>
    </fill>
    <fill>
      <patternFill patternType="solid">
        <fgColor rgb="FFEEF7F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/>
      <right/>
      <top/>
      <bottom style="thick">
        <color rgb="FFCCCCCC"/>
      </bottom>
      <diagonal/>
    </border>
    <border>
      <left/>
      <right style="thick">
        <color rgb="FFCCCCCC"/>
      </right>
      <top/>
      <bottom style="thick">
        <color rgb="FFCCCCCC"/>
      </bottom>
      <diagonal/>
    </border>
    <border>
      <left/>
      <right/>
      <top style="thick">
        <color rgb="FF616161"/>
      </top>
      <bottom/>
      <diagonal/>
    </border>
    <border>
      <left/>
      <right style="thick">
        <color rgb="FFCCCCCC"/>
      </right>
      <top style="thick">
        <color rgb="FF61616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/>
    <xf numFmtId="0" fontId="2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right" vertical="top"/>
    </xf>
    <xf numFmtId="0" fontId="2" fillId="4" borderId="1" xfId="0" applyFont="1" applyFill="1" applyBorder="1" applyAlignment="1">
      <alignment vertical="top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Alignment="1">
      <alignment horizontal="right" vertical="top"/>
    </xf>
    <xf numFmtId="0" fontId="2" fillId="5" borderId="1" xfId="0" applyFont="1" applyFill="1" applyBorder="1" applyAlignment="1">
      <alignment vertical="top"/>
    </xf>
    <xf numFmtId="164" fontId="2" fillId="0" borderId="0" xfId="1" applyNumberFormat="1" applyFont="1"/>
    <xf numFmtId="164" fontId="3" fillId="0" borderId="0" xfId="1" applyNumberFormat="1" applyFont="1"/>
    <xf numFmtId="0" fontId="3" fillId="0" borderId="0" xfId="0" applyFont="1"/>
    <xf numFmtId="164" fontId="2" fillId="0" borderId="0" xfId="1" applyNumberFormat="1" applyFont="1" applyFill="1"/>
    <xf numFmtId="43" fontId="2" fillId="0" borderId="0" xfId="1" applyFont="1" applyFill="1"/>
    <xf numFmtId="164" fontId="2" fillId="0" borderId="0" xfId="1" applyNumberFormat="1" applyFont="1" applyFill="1" applyAlignment="1"/>
    <xf numFmtId="164" fontId="2" fillId="0" borderId="0" xfId="1" applyNumberFormat="1" applyFont="1" applyAlignment="1"/>
    <xf numFmtId="164" fontId="2" fillId="2" borderId="2" xfId="1" applyNumberFormat="1" applyFont="1" applyFill="1" applyBorder="1" applyAlignment="1">
      <alignment vertical="top"/>
    </xf>
    <xf numFmtId="164" fontId="3" fillId="0" borderId="0" xfId="1" applyNumberFormat="1" applyFont="1" applyFill="1"/>
    <xf numFmtId="164" fontId="4" fillId="0" borderId="0" xfId="1" applyNumberFormat="1" applyFont="1" applyFill="1" applyAlignment="1">
      <alignment vertical="top"/>
    </xf>
    <xf numFmtId="164" fontId="4" fillId="3" borderId="0" xfId="1" applyNumberFormat="1" applyFont="1" applyFill="1" applyAlignment="1">
      <alignment vertical="top"/>
    </xf>
    <xf numFmtId="164" fontId="5" fillId="3" borderId="0" xfId="1" applyNumberFormat="1" applyFont="1" applyFill="1" applyAlignment="1">
      <alignment vertical="top"/>
    </xf>
    <xf numFmtId="164" fontId="5" fillId="0" borderId="0" xfId="1" applyNumberFormat="1" applyFont="1" applyFill="1" applyAlignment="1">
      <alignment vertical="top"/>
    </xf>
    <xf numFmtId="164" fontId="4" fillId="0" borderId="5" xfId="1" applyNumberFormat="1" applyFont="1" applyFill="1" applyBorder="1" applyAlignment="1">
      <alignment vertical="top"/>
    </xf>
    <xf numFmtId="164" fontId="4" fillId="3" borderId="5" xfId="1" applyNumberFormat="1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vertical="top"/>
    </xf>
    <xf numFmtId="9" fontId="2" fillId="0" borderId="0" xfId="2" applyFont="1" applyAlignment="1"/>
    <xf numFmtId="164" fontId="2" fillId="6" borderId="0" xfId="1" applyNumberFormat="1" applyFont="1" applyFill="1" applyAlignment="1"/>
    <xf numFmtId="164" fontId="4" fillId="6" borderId="0" xfId="1" applyNumberFormat="1" applyFont="1" applyFill="1" applyAlignment="1">
      <alignment vertical="top"/>
    </xf>
    <xf numFmtId="164" fontId="5" fillId="6" borderId="0" xfId="1" applyNumberFormat="1" applyFont="1" applyFill="1" applyAlignment="1">
      <alignment vertical="top"/>
    </xf>
    <xf numFmtId="164" fontId="4" fillId="6" borderId="5" xfId="1" applyNumberFormat="1" applyFont="1" applyFill="1" applyBorder="1" applyAlignment="1">
      <alignment vertical="top"/>
    </xf>
    <xf numFmtId="164" fontId="2" fillId="6" borderId="0" xfId="1" applyNumberFormat="1" applyFont="1" applyFill="1"/>
    <xf numFmtId="164" fontId="3" fillId="6" borderId="0" xfId="1" applyNumberFormat="1" applyFont="1" applyFill="1"/>
    <xf numFmtId="43" fontId="2" fillId="6" borderId="0" xfId="1" applyFont="1" applyFill="1" applyAlignment="1"/>
    <xf numFmtId="164" fontId="2" fillId="7" borderId="0" xfId="1" applyNumberFormat="1" applyFont="1" applyFill="1" applyAlignment="1"/>
    <xf numFmtId="164" fontId="4" fillId="7" borderId="0" xfId="1" applyNumberFormat="1" applyFont="1" applyFill="1" applyAlignment="1">
      <alignment vertical="top"/>
    </xf>
    <xf numFmtId="164" fontId="5" fillId="7" borderId="0" xfId="1" applyNumberFormat="1" applyFont="1" applyFill="1" applyAlignment="1">
      <alignment vertical="top"/>
    </xf>
    <xf numFmtId="164" fontId="4" fillId="7" borderId="5" xfId="1" applyNumberFormat="1" applyFont="1" applyFill="1" applyBorder="1" applyAlignment="1">
      <alignment vertical="top"/>
    </xf>
    <xf numFmtId="0" fontId="2" fillId="7" borderId="0" xfId="0" applyFont="1" applyFill="1"/>
    <xf numFmtId="0" fontId="2" fillId="6" borderId="0" xfId="0" applyFont="1" applyFill="1"/>
    <xf numFmtId="0" fontId="2" fillId="8" borderId="0" xfId="0" applyFont="1" applyFill="1"/>
    <xf numFmtId="164" fontId="2" fillId="8" borderId="0" xfId="1" applyNumberFormat="1" applyFont="1" applyFill="1" applyAlignment="1"/>
    <xf numFmtId="164" fontId="4" fillId="8" borderId="0" xfId="1" applyNumberFormat="1" applyFont="1" applyFill="1" applyAlignment="1">
      <alignment vertical="top"/>
    </xf>
    <xf numFmtId="164" fontId="5" fillId="8" borderId="0" xfId="1" applyNumberFormat="1" applyFont="1" applyFill="1" applyAlignment="1">
      <alignment vertical="top"/>
    </xf>
    <xf numFmtId="164" fontId="4" fillId="8" borderId="5" xfId="1" applyNumberFormat="1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164" fontId="2" fillId="7" borderId="3" xfId="1" applyNumberFormat="1" applyFont="1" applyFill="1" applyBorder="1" applyAlignment="1">
      <alignment horizontal="right" vertical="top" wrapText="1"/>
    </xf>
    <xf numFmtId="164" fontId="2" fillId="0" borderId="3" xfId="1" applyNumberFormat="1" applyFont="1" applyFill="1" applyBorder="1" applyAlignment="1">
      <alignment horizontal="right" vertical="top" wrapText="1"/>
    </xf>
    <xf numFmtId="43" fontId="2" fillId="6" borderId="3" xfId="1" applyFont="1" applyFill="1" applyBorder="1" applyAlignment="1">
      <alignment horizontal="center" vertical="top" wrapText="1"/>
    </xf>
    <xf numFmtId="164" fontId="2" fillId="6" borderId="3" xfId="1" applyNumberFormat="1" applyFont="1" applyFill="1" applyBorder="1" applyAlignment="1">
      <alignment horizontal="center" vertical="top" wrapText="1"/>
    </xf>
    <xf numFmtId="164" fontId="2" fillId="8" borderId="3" xfId="1" applyNumberFormat="1" applyFont="1" applyFill="1" applyBorder="1" applyAlignment="1">
      <alignment horizontal="right" vertical="top" wrapText="1"/>
    </xf>
    <xf numFmtId="164" fontId="2" fillId="8" borderId="3" xfId="1" applyNumberFormat="1" applyFont="1" applyFill="1" applyBorder="1" applyAlignment="1">
      <alignment horizontal="center" vertical="top" wrapText="1"/>
    </xf>
    <xf numFmtId="164" fontId="2" fillId="0" borderId="3" xfId="1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164" fontId="2" fillId="2" borderId="3" xfId="1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164" fontId="6" fillId="7" borderId="0" xfId="1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164" fontId="6" fillId="0" borderId="0" xfId="1" applyNumberFormat="1" applyFont="1" applyFill="1" applyBorder="1" applyAlignment="1">
      <alignment horizontal="center" vertical="top"/>
    </xf>
    <xf numFmtId="164" fontId="6" fillId="6" borderId="0" xfId="1" applyNumberFormat="1" applyFont="1" applyFill="1" applyBorder="1" applyAlignment="1">
      <alignment horizontal="center" vertical="top"/>
    </xf>
    <xf numFmtId="164" fontId="6" fillId="8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Alignment="1">
      <alignment horizontal="center"/>
    </xf>
    <xf numFmtId="164" fontId="6" fillId="3" borderId="0" xfId="1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164" fontId="2" fillId="9" borderId="0" xfId="1" applyNumberFormat="1" applyFont="1" applyFill="1" applyAlignment="1"/>
    <xf numFmtId="164" fontId="2" fillId="9" borderId="3" xfId="1" applyNumberFormat="1" applyFont="1" applyFill="1" applyBorder="1" applyAlignment="1">
      <alignment horizontal="right" vertical="top" wrapText="1"/>
    </xf>
    <xf numFmtId="164" fontId="4" fillId="9" borderId="0" xfId="1" applyNumberFormat="1" applyFont="1" applyFill="1" applyAlignment="1">
      <alignment vertical="top"/>
    </xf>
    <xf numFmtId="164" fontId="4" fillId="9" borderId="5" xfId="1" applyNumberFormat="1" applyFont="1" applyFill="1" applyBorder="1" applyAlignment="1">
      <alignment vertical="top"/>
    </xf>
    <xf numFmtId="164" fontId="6" fillId="9" borderId="0" xfId="1" applyNumberFormat="1" applyFont="1" applyFill="1" applyBorder="1" applyAlignment="1">
      <alignment horizontal="center" vertical="top"/>
    </xf>
    <xf numFmtId="164" fontId="5" fillId="9" borderId="0" xfId="1" applyNumberFormat="1" applyFont="1" applyFill="1" applyAlignment="1">
      <alignment vertical="top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E60FC-0848-4910-93B9-E7E1BADF147C}">
  <sheetPr>
    <outlinePr summaryBelow="0" summaryRight="0"/>
  </sheetPr>
  <dimension ref="A1:BR46"/>
  <sheetViews>
    <sheetView tabSelected="1" view="pageBreakPreview" zoomScale="76" zoomScaleNormal="100" zoomScaleSheetLayoutView="76" workbookViewId="0">
      <pane xSplit="4" ySplit="2" topLeftCell="AQ3" activePane="bottomRight" state="frozen"/>
      <selection pane="topRight"/>
      <selection pane="bottomLeft"/>
      <selection pane="bottomRight" activeCell="AR16" sqref="AR16"/>
    </sheetView>
  </sheetViews>
  <sheetFormatPr defaultColWidth="15" defaultRowHeight="14.4" outlineLevelRow="1" x14ac:dyDescent="0.3"/>
  <cols>
    <col min="1" max="1" width="9.44140625" style="5" bestFit="1" customWidth="1" collapsed="1"/>
    <col min="2" max="2" width="3.44140625" style="5" bestFit="1" customWidth="1" collapsed="1"/>
    <col min="3" max="3" width="11.5546875" style="5" hidden="1" customWidth="1" collapsed="1"/>
    <col min="4" max="4" width="50.109375" style="5" bestFit="1" customWidth="1" collapsed="1"/>
    <col min="5" max="5" width="14.33203125" style="15" bestFit="1" customWidth="1" collapsed="1"/>
    <col min="6" max="6" width="14.44140625" style="15" customWidth="1"/>
    <col min="7" max="7" width="14.33203125" style="15" bestFit="1" customWidth="1" collapsed="1"/>
    <col min="8" max="8" width="14.33203125" style="15" customWidth="1"/>
    <col min="9" max="9" width="2.88671875" style="15" customWidth="1"/>
    <col min="10" max="12" width="14.33203125" style="15" customWidth="1"/>
    <col min="13" max="13" width="14.33203125" style="16" customWidth="1"/>
    <col min="14" max="15" width="14.44140625" style="15" customWidth="1"/>
    <col min="16" max="16" width="14.33203125" style="15" customWidth="1"/>
    <col min="17" max="17" width="2.5546875" style="15" customWidth="1"/>
    <col min="18" max="18" width="14.33203125" style="15" customWidth="1"/>
    <col min="20" max="20" width="14.33203125" style="15" customWidth="1"/>
    <col min="21" max="25" width="14.88671875" style="15" customWidth="1"/>
    <col min="26" max="26" width="14.33203125" style="15" customWidth="1"/>
    <col min="27" max="27" width="4.5546875" style="15" customWidth="1"/>
    <col min="28" max="28" width="0" hidden="1" customWidth="1"/>
    <col min="29" max="29" width="4" customWidth="1"/>
    <col min="30" max="55" width="14.33203125" style="15" bestFit="1" customWidth="1" collapsed="1"/>
    <col min="56" max="16384" width="15" style="5"/>
  </cols>
  <sheetData>
    <row r="1" spans="1:70" ht="13.8" x14ac:dyDescent="0.3">
      <c r="A1" s="3"/>
      <c r="B1" s="3"/>
      <c r="C1" s="3"/>
      <c r="D1" s="4"/>
      <c r="E1" s="42"/>
      <c r="F1" s="35"/>
      <c r="G1" s="49"/>
      <c r="H1" s="73"/>
      <c r="I1" s="17"/>
      <c r="J1" s="18"/>
      <c r="K1" s="34">
        <v>0.5</v>
      </c>
      <c r="L1" s="42"/>
      <c r="M1" s="41"/>
      <c r="N1" s="35"/>
      <c r="O1" s="35"/>
      <c r="P1" s="49"/>
      <c r="Q1" s="17"/>
      <c r="R1" s="17"/>
      <c r="S1" s="5"/>
      <c r="T1" s="42"/>
      <c r="U1" s="35"/>
      <c r="V1" s="35"/>
      <c r="W1" s="35"/>
      <c r="X1" s="35"/>
      <c r="Y1" s="35"/>
      <c r="Z1" s="49"/>
      <c r="AA1" s="17"/>
      <c r="AB1" s="5"/>
      <c r="AC1" s="5"/>
      <c r="AD1" s="19" t="s">
        <v>0</v>
      </c>
      <c r="AE1" s="19" t="s">
        <v>1</v>
      </c>
      <c r="AF1" s="19" t="s">
        <v>2</v>
      </c>
      <c r="AG1" s="19" t="s">
        <v>3</v>
      </c>
      <c r="AH1" s="19" t="s">
        <v>4</v>
      </c>
      <c r="AI1" s="19" t="s">
        <v>5</v>
      </c>
      <c r="AJ1" s="19" t="s">
        <v>6</v>
      </c>
      <c r="AK1" s="19" t="s">
        <v>7</v>
      </c>
      <c r="AL1" s="19" t="s">
        <v>8</v>
      </c>
      <c r="AM1" s="19" t="s">
        <v>9</v>
      </c>
      <c r="AN1" s="19" t="s">
        <v>10</v>
      </c>
      <c r="AO1" s="19" t="s">
        <v>11</v>
      </c>
      <c r="AP1" s="19" t="s">
        <v>12</v>
      </c>
      <c r="AQ1" s="19" t="s">
        <v>13</v>
      </c>
      <c r="AR1" s="19" t="s">
        <v>14</v>
      </c>
      <c r="AS1" s="19" t="s">
        <v>15</v>
      </c>
      <c r="AT1" s="19" t="s">
        <v>16</v>
      </c>
      <c r="AU1" s="19" t="s">
        <v>17</v>
      </c>
      <c r="AV1" s="19" t="s">
        <v>18</v>
      </c>
      <c r="AW1" s="19" t="s">
        <v>19</v>
      </c>
      <c r="AX1" s="19" t="s">
        <v>20</v>
      </c>
      <c r="AY1" s="19" t="s">
        <v>21</v>
      </c>
      <c r="AZ1" s="19" t="s">
        <v>22</v>
      </c>
      <c r="BA1" s="19" t="s">
        <v>23</v>
      </c>
      <c r="BB1" s="19" t="s">
        <v>24</v>
      </c>
      <c r="BC1" s="19" t="s">
        <v>25</v>
      </c>
    </row>
    <row r="2" spans="1:70" s="64" customFormat="1" ht="28.2" thickBot="1" x14ac:dyDescent="0.35">
      <c r="A2" s="53"/>
      <c r="B2" s="53"/>
      <c r="C2" s="53"/>
      <c r="D2" s="54"/>
      <c r="E2" s="55" t="s">
        <v>26</v>
      </c>
      <c r="F2" s="58" t="s">
        <v>99</v>
      </c>
      <c r="G2" s="59" t="s">
        <v>97</v>
      </c>
      <c r="H2" s="74" t="s">
        <v>106</v>
      </c>
      <c r="I2" s="56"/>
      <c r="J2" s="56" t="s">
        <v>87</v>
      </c>
      <c r="K2" s="56" t="s">
        <v>92</v>
      </c>
      <c r="L2" s="55" t="s">
        <v>93</v>
      </c>
      <c r="M2" s="57" t="s">
        <v>89</v>
      </c>
      <c r="N2" s="58" t="s">
        <v>90</v>
      </c>
      <c r="O2" s="58" t="s">
        <v>102</v>
      </c>
      <c r="P2" s="59" t="s">
        <v>95</v>
      </c>
      <c r="Q2" s="56"/>
      <c r="R2" s="56" t="s">
        <v>88</v>
      </c>
      <c r="S2" s="56" t="s">
        <v>92</v>
      </c>
      <c r="T2" s="55" t="s">
        <v>94</v>
      </c>
      <c r="U2" s="58" t="s">
        <v>91</v>
      </c>
      <c r="V2" s="58" t="s">
        <v>101</v>
      </c>
      <c r="W2" s="58" t="s">
        <v>103</v>
      </c>
      <c r="X2" s="58" t="s">
        <v>104</v>
      </c>
      <c r="Y2" s="58" t="s">
        <v>105</v>
      </c>
      <c r="Z2" s="60" t="s">
        <v>96</v>
      </c>
      <c r="AA2" s="61"/>
      <c r="AC2" s="62"/>
      <c r="AD2" s="63" t="s">
        <v>26</v>
      </c>
      <c r="AE2" s="63" t="s">
        <v>26</v>
      </c>
      <c r="AF2" s="63" t="s">
        <v>26</v>
      </c>
      <c r="AG2" s="63" t="s">
        <v>26</v>
      </c>
      <c r="AH2" s="63" t="s">
        <v>26</v>
      </c>
      <c r="AI2" s="63" t="s">
        <v>26</v>
      </c>
      <c r="AJ2" s="63" t="s">
        <v>26</v>
      </c>
      <c r="AK2" s="63" t="s">
        <v>26</v>
      </c>
      <c r="AL2" s="63" t="s">
        <v>26</v>
      </c>
      <c r="AM2" s="63" t="s">
        <v>26</v>
      </c>
      <c r="AN2" s="63" t="s">
        <v>26</v>
      </c>
      <c r="AO2" s="63" t="s">
        <v>26</v>
      </c>
      <c r="AP2" s="63" t="s">
        <v>26</v>
      </c>
      <c r="AQ2" s="63" t="s">
        <v>26</v>
      </c>
      <c r="AR2" s="63" t="s">
        <v>26</v>
      </c>
      <c r="AS2" s="63" t="s">
        <v>26</v>
      </c>
      <c r="AT2" s="63" t="s">
        <v>26</v>
      </c>
      <c r="AU2" s="63" t="s">
        <v>26</v>
      </c>
      <c r="AV2" s="63" t="s">
        <v>26</v>
      </c>
      <c r="AW2" s="63" t="s">
        <v>26</v>
      </c>
      <c r="AX2" s="63" t="s">
        <v>26</v>
      </c>
      <c r="AY2" s="63" t="s">
        <v>26</v>
      </c>
      <c r="AZ2" s="63" t="s">
        <v>26</v>
      </c>
      <c r="BA2" s="63" t="s">
        <v>26</v>
      </c>
      <c r="BB2" s="63" t="s">
        <v>26</v>
      </c>
      <c r="BC2" s="63" t="s">
        <v>26</v>
      </c>
    </row>
    <row r="3" spans="1:70" s="14" customFormat="1" thickTop="1" x14ac:dyDescent="0.3">
      <c r="A3" s="27" t="s">
        <v>27</v>
      </c>
      <c r="B3" s="28" t="s">
        <v>28</v>
      </c>
      <c r="C3" s="27"/>
      <c r="D3" s="29"/>
      <c r="E3" s="43">
        <v>-5970.5646511000004</v>
      </c>
      <c r="F3" s="40">
        <f>SUM(F4:F7)</f>
        <v>-400</v>
      </c>
      <c r="G3" s="50">
        <f>E3+F3</f>
        <v>-6370.5646511000004</v>
      </c>
      <c r="H3" s="75">
        <f>SUM(H4:H7)</f>
        <v>-6570.5788491000003</v>
      </c>
      <c r="I3" s="21"/>
      <c r="J3" s="21">
        <f t="shared" ref="J3:J32" si="0">SUM(AJ3:BC3)</f>
        <v>-4804.5728019999997</v>
      </c>
      <c r="K3" s="21">
        <f t="shared" ref="K3:K32" si="1">AE3*$K$1</f>
        <v>-40.65</v>
      </c>
      <c r="L3" s="43">
        <f>J3+K3</f>
        <v>-4845.2228019999993</v>
      </c>
      <c r="M3" s="40">
        <f>SUM(M4:M7)</f>
        <v>-250</v>
      </c>
      <c r="N3" s="40">
        <f>SUM(N4:N7)</f>
        <v>-100</v>
      </c>
      <c r="O3" s="40">
        <f>SUM(O4:O7)</f>
        <v>-50</v>
      </c>
      <c r="P3" s="50">
        <f>SUM(L3:O3)</f>
        <v>-5245.2228019999993</v>
      </c>
      <c r="Q3" s="21"/>
      <c r="R3" s="21">
        <f t="shared" ref="R3:R33" si="2">SUM(AD3:AI3)</f>
        <v>-1565.1918491000001</v>
      </c>
      <c r="S3" s="20">
        <f>-K3</f>
        <v>40.65</v>
      </c>
      <c r="T3" s="43">
        <f>SUM(R3:S3)</f>
        <v>-1524.5418491</v>
      </c>
      <c r="U3" s="40"/>
      <c r="V3" s="40"/>
      <c r="W3" s="36"/>
      <c r="X3" s="36"/>
      <c r="Y3" s="36"/>
      <c r="Z3" s="50">
        <f>SUM(T3:Y3)</f>
        <v>-1524.5418491</v>
      </c>
      <c r="AA3" s="21"/>
      <c r="AC3" s="13"/>
      <c r="AD3" s="22">
        <f>SUBTOTAL(9,AD4:AD7)</f>
        <v>-100</v>
      </c>
      <c r="AE3" s="22">
        <f t="shared" ref="AE3:BC3" si="3">SUBTOTAL(9,AE4:AE7)</f>
        <v>-81.3</v>
      </c>
      <c r="AF3" s="22">
        <f t="shared" si="3"/>
        <v>0</v>
      </c>
      <c r="AG3" s="22">
        <f t="shared" si="3"/>
        <v>-361.6</v>
      </c>
      <c r="AH3" s="22">
        <f t="shared" si="3"/>
        <v>-1022.2918491</v>
      </c>
      <c r="AI3" s="22">
        <f t="shared" si="3"/>
        <v>0</v>
      </c>
      <c r="AJ3" s="22">
        <f t="shared" si="3"/>
        <v>-308.39999999999998</v>
      </c>
      <c r="AK3" s="22">
        <f t="shared" si="3"/>
        <v>-572.4</v>
      </c>
      <c r="AL3" s="22">
        <f t="shared" si="3"/>
        <v>-196.80000000000004</v>
      </c>
      <c r="AM3" s="22">
        <f t="shared" si="3"/>
        <v>-696.05299999999988</v>
      </c>
      <c r="AN3" s="22">
        <f t="shared" si="3"/>
        <v>-170.32499999999999</v>
      </c>
      <c r="AO3" s="22">
        <f t="shared" si="3"/>
        <v>-68.8</v>
      </c>
      <c r="AP3" s="22">
        <f t="shared" si="3"/>
        <v>-179.6</v>
      </c>
      <c r="AQ3" s="22">
        <f t="shared" si="3"/>
        <v>-197.89999999999998</v>
      </c>
      <c r="AR3" s="22">
        <f t="shared" si="3"/>
        <v>-18</v>
      </c>
      <c r="AS3" s="22">
        <f t="shared" si="3"/>
        <v>-94</v>
      </c>
      <c r="AT3" s="22">
        <f t="shared" si="3"/>
        <v>-212.60000000000002</v>
      </c>
      <c r="AU3" s="22">
        <f t="shared" si="3"/>
        <v>-411.9</v>
      </c>
      <c r="AV3" s="22">
        <f t="shared" si="3"/>
        <v>-288.47999999999996</v>
      </c>
      <c r="AW3" s="22">
        <f t="shared" si="3"/>
        <v>-89.7</v>
      </c>
      <c r="AX3" s="22">
        <f t="shared" si="3"/>
        <v>-425.51480200000003</v>
      </c>
      <c r="AY3" s="22">
        <f t="shared" si="3"/>
        <v>-399.7</v>
      </c>
      <c r="AZ3" s="22">
        <f t="shared" si="3"/>
        <v>-205.89999999999998</v>
      </c>
      <c r="BA3" s="22">
        <f t="shared" si="3"/>
        <v>-228.35</v>
      </c>
      <c r="BB3" s="22">
        <f t="shared" si="3"/>
        <v>-40.15</v>
      </c>
      <c r="BC3" s="22">
        <f t="shared" si="3"/>
        <v>0</v>
      </c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</row>
    <row r="4" spans="1:70" outlineLevel="1" collapsed="1" x14ac:dyDescent="0.3">
      <c r="A4" s="6"/>
      <c r="B4" s="6"/>
      <c r="C4" s="7" t="s">
        <v>29</v>
      </c>
      <c r="D4" s="8" t="s">
        <v>30</v>
      </c>
      <c r="E4" s="44">
        <v>-1759.575</v>
      </c>
      <c r="F4" s="37">
        <f>SUM(M4:O4)+SUM(U4:Y4)</f>
        <v>-250</v>
      </c>
      <c r="G4" s="51">
        <f t="shared" ref="G4:G32" si="4">E4+F4</f>
        <v>-2009.575</v>
      </c>
      <c r="H4" s="78">
        <v>-2110</v>
      </c>
      <c r="I4" s="24"/>
      <c r="J4" s="24">
        <f t="shared" si="0"/>
        <v>-1799.5749999999998</v>
      </c>
      <c r="K4" s="24">
        <f t="shared" si="1"/>
        <v>-9</v>
      </c>
      <c r="L4" s="44">
        <f t="shared" ref="L4:L32" si="5">J4+K4</f>
        <v>-1808.5749999999998</v>
      </c>
      <c r="M4" s="37">
        <v>-250</v>
      </c>
      <c r="N4" s="37"/>
      <c r="O4" s="37"/>
      <c r="P4" s="51">
        <f t="shared" ref="P4:P35" si="6">SUM(L4:O4)</f>
        <v>-2058.5749999999998</v>
      </c>
      <c r="Q4" s="24"/>
      <c r="R4" s="24">
        <f t="shared" si="2"/>
        <v>-209.99999999999989</v>
      </c>
      <c r="S4" s="2">
        <f t="shared" ref="S4:S32" si="7">-K4</f>
        <v>9</v>
      </c>
      <c r="T4" s="44">
        <f t="shared" ref="T4:T33" si="8">SUM(R4:S4)</f>
        <v>-200.99999999999989</v>
      </c>
      <c r="U4" s="37"/>
      <c r="V4" s="37"/>
      <c r="W4" s="37"/>
      <c r="X4" s="37"/>
      <c r="Y4" s="37"/>
      <c r="Z4" s="51">
        <f t="shared" ref="Z4:Z33" si="9">SUM(T4:Y4)</f>
        <v>-200.99999999999989</v>
      </c>
      <c r="AA4" s="24"/>
      <c r="AB4" s="5"/>
      <c r="AC4" s="1"/>
      <c r="AD4" s="23">
        <v>-100</v>
      </c>
      <c r="AE4" s="23">
        <v>-18</v>
      </c>
      <c r="AF4" s="23">
        <v>0</v>
      </c>
      <c r="AG4" s="23">
        <v>-91.999999999999901</v>
      </c>
      <c r="AH4" s="23"/>
      <c r="AI4" s="23"/>
      <c r="AJ4" s="23">
        <f>-128.2-22.4</f>
        <v>-150.6</v>
      </c>
      <c r="AK4" s="23">
        <f>-230.1-37.8</f>
        <v>-267.89999999999998</v>
      </c>
      <c r="AL4" s="23">
        <f>-143.9-25.3</f>
        <v>-169.20000000000002</v>
      </c>
      <c r="AM4" s="23">
        <f>-240.55-41.9</f>
        <v>-282.45</v>
      </c>
      <c r="AN4" s="23">
        <f>-48.625-8.3</f>
        <v>-56.924999999999997</v>
      </c>
      <c r="AO4" s="23">
        <v>-2.8</v>
      </c>
      <c r="AP4" s="23">
        <f>-46.6-8.2</f>
        <v>-54.8</v>
      </c>
      <c r="AQ4" s="23">
        <f>-68.6-12</f>
        <v>-80.599999999999994</v>
      </c>
      <c r="AR4" s="23">
        <v>-1.8</v>
      </c>
      <c r="AS4" s="23">
        <v>-18</v>
      </c>
      <c r="AT4" s="23">
        <f>-105-18.4</f>
        <v>-123.4</v>
      </c>
      <c r="AU4" s="23">
        <f>-90.7-15.9</f>
        <v>-106.60000000000001</v>
      </c>
      <c r="AV4" s="23">
        <f>-66.5-11.8</f>
        <v>-78.3</v>
      </c>
      <c r="AW4" s="23">
        <v>-44.7</v>
      </c>
      <c r="AX4" s="23">
        <f>-91.1-16</f>
        <v>-107.1</v>
      </c>
      <c r="AY4" s="23">
        <f>-70.8-12.4</f>
        <v>-83.2</v>
      </c>
      <c r="AZ4" s="23">
        <f>-67.5-11</f>
        <v>-78.5</v>
      </c>
      <c r="BA4" s="23">
        <f>-52.05-8.6</f>
        <v>-60.65</v>
      </c>
      <c r="BB4" s="23">
        <v>-32.049999999999997</v>
      </c>
      <c r="BC4" s="23">
        <v>0</v>
      </c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outlineLevel="1" collapsed="1" x14ac:dyDescent="0.3">
      <c r="A5" s="9"/>
      <c r="B5" s="9"/>
      <c r="C5" s="10" t="s">
        <v>31</v>
      </c>
      <c r="D5" s="11" t="s">
        <v>32</v>
      </c>
      <c r="E5" s="44">
        <v>-2370.4108019999999</v>
      </c>
      <c r="F5" s="37">
        <f t="shared" ref="F5:F32" si="10">SUM(M5:O5)+SUM(U5:Y5)</f>
        <v>-100</v>
      </c>
      <c r="G5" s="51">
        <f t="shared" si="4"/>
        <v>-2470.4108019999999</v>
      </c>
      <c r="H5" s="78">
        <v>-2570</v>
      </c>
      <c r="I5" s="24"/>
      <c r="J5" s="24">
        <f t="shared" si="0"/>
        <v>-2090.5108019999998</v>
      </c>
      <c r="K5" s="24">
        <f t="shared" si="1"/>
        <v>-31.65</v>
      </c>
      <c r="L5" s="44">
        <f t="shared" si="5"/>
        <v>-2122.1608019999999</v>
      </c>
      <c r="M5" s="37"/>
      <c r="N5" s="37">
        <v>-100</v>
      </c>
      <c r="O5" s="37"/>
      <c r="P5" s="51">
        <f t="shared" si="6"/>
        <v>-2222.1608019999999</v>
      </c>
      <c r="Q5" s="24"/>
      <c r="R5" s="24">
        <f t="shared" si="2"/>
        <v>-379.10000000000014</v>
      </c>
      <c r="S5" s="2">
        <f t="shared" si="7"/>
        <v>31.65</v>
      </c>
      <c r="T5" s="44">
        <f t="shared" si="8"/>
        <v>-347.45000000000016</v>
      </c>
      <c r="U5" s="37"/>
      <c r="V5" s="37"/>
      <c r="W5" s="37"/>
      <c r="X5" s="37"/>
      <c r="Y5" s="37"/>
      <c r="Z5" s="51">
        <f t="shared" si="9"/>
        <v>-347.45000000000016</v>
      </c>
      <c r="AA5" s="24"/>
      <c r="AB5" s="5"/>
      <c r="AC5" s="1"/>
      <c r="AD5" s="23"/>
      <c r="AE5" s="23">
        <v>-63.3</v>
      </c>
      <c r="AF5" s="23">
        <v>0</v>
      </c>
      <c r="AG5" s="23">
        <v>-43.000000000000099</v>
      </c>
      <c r="AH5" s="23">
        <v>-272.8</v>
      </c>
      <c r="AI5" s="23">
        <v>0</v>
      </c>
      <c r="AJ5" s="23">
        <f>-117.4-9</f>
        <v>-126.4</v>
      </c>
      <c r="AK5" s="23">
        <f>-277-16.4</f>
        <v>-293.39999999999998</v>
      </c>
      <c r="AL5" s="23">
        <v>-0.3</v>
      </c>
      <c r="AM5" s="23">
        <f>-224.916-12</f>
        <v>-236.916</v>
      </c>
      <c r="AN5" s="23">
        <f>-10.6-0.6-0.2</f>
        <v>-11.399999999999999</v>
      </c>
      <c r="AO5" s="23">
        <v>-7</v>
      </c>
      <c r="AP5" s="23">
        <f>-82.5-1.9</f>
        <v>-84.4</v>
      </c>
      <c r="AQ5" s="23">
        <f>-65.5-5.3</f>
        <v>-70.8</v>
      </c>
      <c r="AR5" s="23">
        <v>-3.2</v>
      </c>
      <c r="AS5" s="23">
        <v>-12</v>
      </c>
      <c r="AT5" s="23">
        <f>-10-0.8</f>
        <v>-10.8</v>
      </c>
      <c r="AU5" s="23">
        <f>-228.3-3.4</f>
        <v>-231.70000000000002</v>
      </c>
      <c r="AV5" s="23">
        <f>-132.28-8.2-0.2</f>
        <v>-140.67999999999998</v>
      </c>
      <c r="AW5" s="23">
        <v>-40</v>
      </c>
      <c r="AX5" s="23">
        <f>-255.514802-12.9</f>
        <v>-268.41480200000001</v>
      </c>
      <c r="AY5" s="23">
        <f>-252.3-17.3</f>
        <v>-269.60000000000002</v>
      </c>
      <c r="AZ5" s="23">
        <f>-100-7.7</f>
        <v>-107.7</v>
      </c>
      <c r="BA5" s="23">
        <f>-165-2.7</f>
        <v>-167.7</v>
      </c>
      <c r="BB5" s="23">
        <f>-7.5-0.6</f>
        <v>-8.1</v>
      </c>
      <c r="BC5" s="23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outlineLevel="1" collapsed="1" x14ac:dyDescent="0.3">
      <c r="A6" s="6"/>
      <c r="B6" s="6"/>
      <c r="C6" s="7" t="s">
        <v>33</v>
      </c>
      <c r="D6" s="8" t="s">
        <v>34</v>
      </c>
      <c r="E6" s="44">
        <v>-1404.5918491</v>
      </c>
      <c r="F6" s="37">
        <f t="shared" si="10"/>
        <v>0</v>
      </c>
      <c r="G6" s="51">
        <f t="shared" si="4"/>
        <v>-1404.5918491</v>
      </c>
      <c r="H6" s="78">
        <f t="shared" ref="H6:H34" si="11">G6</f>
        <v>-1404.5918491</v>
      </c>
      <c r="I6" s="24"/>
      <c r="J6" s="24">
        <f t="shared" si="0"/>
        <v>-655.1</v>
      </c>
      <c r="K6" s="24">
        <f t="shared" si="1"/>
        <v>0</v>
      </c>
      <c r="L6" s="44">
        <f t="shared" si="5"/>
        <v>-655.1</v>
      </c>
      <c r="M6" s="37"/>
      <c r="N6" s="37"/>
      <c r="O6" s="37"/>
      <c r="P6" s="51">
        <f t="shared" si="6"/>
        <v>-655.1</v>
      </c>
      <c r="Q6" s="24"/>
      <c r="R6" s="24">
        <f t="shared" si="2"/>
        <v>-749.49184909999997</v>
      </c>
      <c r="S6" s="2">
        <f t="shared" si="7"/>
        <v>0</v>
      </c>
      <c r="T6" s="44">
        <f t="shared" si="8"/>
        <v>-749.49184909999997</v>
      </c>
      <c r="U6" s="37"/>
      <c r="V6" s="37"/>
      <c r="W6" s="37"/>
      <c r="X6" s="37"/>
      <c r="Y6" s="37"/>
      <c r="Z6" s="51">
        <f t="shared" si="9"/>
        <v>-749.49184909999997</v>
      </c>
      <c r="AA6" s="24"/>
      <c r="AB6" s="5"/>
      <c r="AC6" s="1"/>
      <c r="AD6" s="23"/>
      <c r="AE6" s="23">
        <v>0</v>
      </c>
      <c r="AF6" s="23"/>
      <c r="AG6" s="23"/>
      <c r="AH6" s="23">
        <v>-749.49184909999997</v>
      </c>
      <c r="AI6" s="23">
        <v>0</v>
      </c>
      <c r="AJ6" s="23">
        <v>-31.4</v>
      </c>
      <c r="AK6" s="23">
        <v>-11.1</v>
      </c>
      <c r="AL6" s="23">
        <v>-20.3</v>
      </c>
      <c r="AM6" s="23">
        <v>-71.3</v>
      </c>
      <c r="AN6" s="23">
        <v>-102</v>
      </c>
      <c r="AO6" s="23">
        <v>0</v>
      </c>
      <c r="AP6" s="23">
        <v>-40.4</v>
      </c>
      <c r="AQ6" s="23">
        <v>-46.5</v>
      </c>
      <c r="AR6" s="23"/>
      <c r="AS6" s="23"/>
      <c r="AT6" s="23">
        <v>-78.400000000000006</v>
      </c>
      <c r="AU6" s="23">
        <v>-73.599999999999994</v>
      </c>
      <c r="AV6" s="23">
        <v>-69.5</v>
      </c>
      <c r="AW6" s="23">
        <v>0</v>
      </c>
      <c r="AX6" s="23">
        <v>-47</v>
      </c>
      <c r="AY6" s="23">
        <v>-43.9</v>
      </c>
      <c r="AZ6" s="23">
        <v>-19.7</v>
      </c>
      <c r="BA6" s="23">
        <v>0</v>
      </c>
      <c r="BB6" s="23"/>
      <c r="BC6" s="23">
        <v>0</v>
      </c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outlineLevel="1" collapsed="1" x14ac:dyDescent="0.3">
      <c r="A7" s="9"/>
      <c r="B7" s="9"/>
      <c r="C7" s="10" t="s">
        <v>35</v>
      </c>
      <c r="D7" s="11" t="s">
        <v>36</v>
      </c>
      <c r="E7" s="44">
        <v>-435.98700000000002</v>
      </c>
      <c r="F7" s="37">
        <f t="shared" si="10"/>
        <v>-50</v>
      </c>
      <c r="G7" s="51">
        <f t="shared" si="4"/>
        <v>-485.98700000000002</v>
      </c>
      <c r="H7" s="78">
        <f t="shared" si="11"/>
        <v>-485.98700000000002</v>
      </c>
      <c r="I7" s="24"/>
      <c r="J7" s="24">
        <f t="shared" si="0"/>
        <v>-259.387</v>
      </c>
      <c r="K7" s="24">
        <f t="shared" si="1"/>
        <v>0</v>
      </c>
      <c r="L7" s="44">
        <f t="shared" si="5"/>
        <v>-259.387</v>
      </c>
      <c r="M7" s="37"/>
      <c r="N7" s="37"/>
      <c r="O7" s="37">
        <v>-50</v>
      </c>
      <c r="P7" s="51">
        <f t="shared" si="6"/>
        <v>-309.387</v>
      </c>
      <c r="Q7" s="24"/>
      <c r="R7" s="24">
        <f t="shared" si="2"/>
        <v>-226.6</v>
      </c>
      <c r="S7" s="2">
        <f t="shared" si="7"/>
        <v>0</v>
      </c>
      <c r="T7" s="44">
        <f t="shared" si="8"/>
        <v>-226.6</v>
      </c>
      <c r="U7" s="37"/>
      <c r="V7" s="37"/>
      <c r="W7" s="37"/>
      <c r="X7" s="37"/>
      <c r="Y7" s="37"/>
      <c r="Z7" s="51">
        <f t="shared" si="9"/>
        <v>-226.6</v>
      </c>
      <c r="AA7" s="24"/>
      <c r="AB7" s="5"/>
      <c r="AC7" s="1"/>
      <c r="AD7" s="23"/>
      <c r="AE7" s="23">
        <v>0</v>
      </c>
      <c r="AF7" s="23"/>
      <c r="AG7" s="23">
        <v>-226.6</v>
      </c>
      <c r="AH7" s="23"/>
      <c r="AI7" s="23">
        <v>0</v>
      </c>
      <c r="AJ7" s="23">
        <v>0</v>
      </c>
      <c r="AK7" s="23">
        <v>0</v>
      </c>
      <c r="AL7" s="23">
        <v>-7</v>
      </c>
      <c r="AM7" s="23">
        <v>-105.387</v>
      </c>
      <c r="AN7" s="23">
        <v>0</v>
      </c>
      <c r="AO7" s="23">
        <f>-40-19</f>
        <v>-59</v>
      </c>
      <c r="AP7" s="23">
        <v>0</v>
      </c>
      <c r="AQ7" s="23">
        <v>0</v>
      </c>
      <c r="AR7" s="23">
        <f>-6-7</f>
        <v>-13</v>
      </c>
      <c r="AS7" s="23">
        <f>-45-19</f>
        <v>-64</v>
      </c>
      <c r="AT7" s="23">
        <v>0</v>
      </c>
      <c r="AU7" s="23">
        <v>0</v>
      </c>
      <c r="AV7" s="23">
        <v>0</v>
      </c>
      <c r="AW7" s="23">
        <v>-5</v>
      </c>
      <c r="AX7" s="23">
        <v>-3</v>
      </c>
      <c r="AY7" s="23">
        <v>-3</v>
      </c>
      <c r="AZ7" s="23">
        <v>0</v>
      </c>
      <c r="BA7" s="23"/>
      <c r="BB7" s="23">
        <v>0</v>
      </c>
      <c r="BC7" s="23">
        <v>0</v>
      </c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4" customFormat="1" ht="13.8" x14ac:dyDescent="0.3">
      <c r="A8" s="27" t="s">
        <v>37</v>
      </c>
      <c r="B8" s="28" t="s">
        <v>38</v>
      </c>
      <c r="C8" s="27"/>
      <c r="D8" s="29"/>
      <c r="E8" s="43">
        <v>3046.5729999999999</v>
      </c>
      <c r="F8" s="36">
        <f>SUM(F9:F13)</f>
        <v>-160</v>
      </c>
      <c r="G8" s="50">
        <f t="shared" si="4"/>
        <v>2886.5729999999999</v>
      </c>
      <c r="H8" s="75">
        <f>SUM(H9:H13)</f>
        <v>2749.9250000000002</v>
      </c>
      <c r="I8" s="21"/>
      <c r="J8" s="21">
        <f t="shared" si="0"/>
        <v>2055.873</v>
      </c>
      <c r="K8" s="21">
        <f t="shared" si="1"/>
        <v>81.75</v>
      </c>
      <c r="L8" s="43">
        <f t="shared" si="5"/>
        <v>2137.623</v>
      </c>
      <c r="M8" s="36">
        <f>SUM(M9:M13)</f>
        <v>5</v>
      </c>
      <c r="N8" s="36">
        <f>SUM(N9:N13)</f>
        <v>-100</v>
      </c>
      <c r="O8" s="36">
        <f>SUM(O9:O13)</f>
        <v>-50</v>
      </c>
      <c r="P8" s="50">
        <f t="shared" si="6"/>
        <v>1992.623</v>
      </c>
      <c r="Q8" s="21"/>
      <c r="R8" s="21">
        <f t="shared" si="2"/>
        <v>845.69999999999993</v>
      </c>
      <c r="S8" s="20">
        <f t="shared" si="7"/>
        <v>-81.75</v>
      </c>
      <c r="T8" s="43">
        <f t="shared" si="8"/>
        <v>763.94999999999993</v>
      </c>
      <c r="U8" s="36">
        <f t="shared" ref="U8:V8" si="12">SUM(U9:U13)</f>
        <v>0</v>
      </c>
      <c r="V8" s="36">
        <f t="shared" si="12"/>
        <v>-15</v>
      </c>
      <c r="W8" s="36">
        <f>SUM(W9:W13)</f>
        <v>0</v>
      </c>
      <c r="X8" s="36">
        <f>SUM(X9:X13)</f>
        <v>0</v>
      </c>
      <c r="Y8" s="36">
        <f>SUM(Y9:Y13)</f>
        <v>0</v>
      </c>
      <c r="Z8" s="50">
        <f t="shared" si="9"/>
        <v>748.94999999999993</v>
      </c>
      <c r="AA8" s="21"/>
      <c r="AC8" s="13"/>
      <c r="AD8" s="22">
        <f>SUBTOTAL(9,AD9:AD13)</f>
        <v>245</v>
      </c>
      <c r="AE8" s="22">
        <f>SUBTOTAL(9,AE9:AE13)</f>
        <v>163.5</v>
      </c>
      <c r="AF8" s="22">
        <f t="shared" ref="AF8:BC8" si="13">SUBTOTAL(9,AF9:AF13)</f>
        <v>0</v>
      </c>
      <c r="AG8" s="22">
        <f t="shared" si="13"/>
        <v>117.8</v>
      </c>
      <c r="AH8" s="22">
        <f t="shared" si="13"/>
        <v>319.39999999999998</v>
      </c>
      <c r="AI8" s="22">
        <f t="shared" si="13"/>
        <v>0</v>
      </c>
      <c r="AJ8" s="22">
        <f t="shared" si="13"/>
        <v>89.5</v>
      </c>
      <c r="AK8" s="22">
        <f t="shared" si="13"/>
        <v>400.76599999999996</v>
      </c>
      <c r="AL8" s="22">
        <f t="shared" si="13"/>
        <v>62.01</v>
      </c>
      <c r="AM8" s="22">
        <f t="shared" si="13"/>
        <v>297.90700000000004</v>
      </c>
      <c r="AN8" s="22">
        <f t="shared" si="13"/>
        <v>49.424999999999997</v>
      </c>
      <c r="AO8" s="22">
        <f t="shared" si="13"/>
        <v>3</v>
      </c>
      <c r="AP8" s="22">
        <f t="shared" si="13"/>
        <v>83.5</v>
      </c>
      <c r="AQ8" s="22">
        <f t="shared" si="13"/>
        <v>97.65</v>
      </c>
      <c r="AR8" s="22">
        <f t="shared" si="13"/>
        <v>12.5</v>
      </c>
      <c r="AS8" s="22">
        <f t="shared" si="13"/>
        <v>66.5</v>
      </c>
      <c r="AT8" s="22">
        <f t="shared" si="13"/>
        <v>60.8</v>
      </c>
      <c r="AU8" s="22">
        <f t="shared" si="13"/>
        <v>173.1</v>
      </c>
      <c r="AV8" s="22">
        <f t="shared" si="13"/>
        <v>89.95</v>
      </c>
      <c r="AW8" s="22">
        <f t="shared" si="13"/>
        <v>57.55</v>
      </c>
      <c r="AX8" s="22">
        <f t="shared" si="13"/>
        <v>155.215</v>
      </c>
      <c r="AY8" s="22">
        <f t="shared" si="13"/>
        <v>103.5000000000001</v>
      </c>
      <c r="AZ8" s="22">
        <f t="shared" si="13"/>
        <v>65.05</v>
      </c>
      <c r="BA8" s="22">
        <f t="shared" si="13"/>
        <v>128.4</v>
      </c>
      <c r="BB8" s="22">
        <f t="shared" si="13"/>
        <v>59.55</v>
      </c>
      <c r="BC8" s="22">
        <f t="shared" si="13"/>
        <v>0</v>
      </c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outlineLevel="1" collapsed="1" x14ac:dyDescent="0.3">
      <c r="A9" s="6"/>
      <c r="B9" s="6"/>
      <c r="C9" s="7" t="s">
        <v>39</v>
      </c>
      <c r="D9" s="8" t="s">
        <v>40</v>
      </c>
      <c r="E9" s="44">
        <v>54.924999999999997</v>
      </c>
      <c r="F9" s="37">
        <f t="shared" si="10"/>
        <v>5</v>
      </c>
      <c r="G9" s="51">
        <f t="shared" si="4"/>
        <v>59.924999999999997</v>
      </c>
      <c r="H9" s="78">
        <f t="shared" si="11"/>
        <v>59.924999999999997</v>
      </c>
      <c r="I9" s="24"/>
      <c r="J9" s="24">
        <f t="shared" si="0"/>
        <v>41.924999999999997</v>
      </c>
      <c r="K9" s="24">
        <f t="shared" si="1"/>
        <v>9</v>
      </c>
      <c r="L9" s="44">
        <f t="shared" si="5"/>
        <v>50.924999999999997</v>
      </c>
      <c r="M9" s="37">
        <v>5</v>
      </c>
      <c r="N9" s="37"/>
      <c r="O9" s="37"/>
      <c r="P9" s="51">
        <f t="shared" si="6"/>
        <v>55.924999999999997</v>
      </c>
      <c r="Q9" s="24"/>
      <c r="R9" s="24">
        <f t="shared" si="2"/>
        <v>18</v>
      </c>
      <c r="S9" s="2">
        <f t="shared" si="7"/>
        <v>-9</v>
      </c>
      <c r="T9" s="44">
        <f t="shared" si="8"/>
        <v>9</v>
      </c>
      <c r="U9" s="37"/>
      <c r="V9" s="37"/>
      <c r="W9" s="37"/>
      <c r="X9" s="37"/>
      <c r="Y9" s="37"/>
      <c r="Z9" s="51">
        <f t="shared" si="9"/>
        <v>9</v>
      </c>
      <c r="AA9" s="24"/>
      <c r="AB9" s="5"/>
      <c r="AC9" s="1"/>
      <c r="AD9" s="23"/>
      <c r="AE9" s="23">
        <v>18</v>
      </c>
      <c r="AF9" s="23"/>
      <c r="AG9" s="23"/>
      <c r="AH9" s="23"/>
      <c r="AI9" s="23"/>
      <c r="AJ9" s="23">
        <v>1.2</v>
      </c>
      <c r="AK9" s="23">
        <f>16.25+1.5</f>
        <v>17.75</v>
      </c>
      <c r="AL9" s="23">
        <v>0.8</v>
      </c>
      <c r="AM9" s="23">
        <f>4+1</f>
        <v>5</v>
      </c>
      <c r="AN9" s="23">
        <f>1.725+0.5</f>
        <v>2.2250000000000001</v>
      </c>
      <c r="AO9" s="23">
        <v>0</v>
      </c>
      <c r="AP9" s="23">
        <v>0</v>
      </c>
      <c r="AQ9" s="23">
        <v>0.5</v>
      </c>
      <c r="AR9" s="23"/>
      <c r="AS9" s="23"/>
      <c r="AT9" s="23">
        <v>1</v>
      </c>
      <c r="AU9" s="23">
        <v>0.5</v>
      </c>
      <c r="AV9" s="23">
        <v>0</v>
      </c>
      <c r="AW9" s="23">
        <v>0</v>
      </c>
      <c r="AX9" s="23">
        <v>0.5</v>
      </c>
      <c r="AY9" s="23">
        <v>0.9</v>
      </c>
      <c r="AZ9" s="23">
        <f>5+1</f>
        <v>6</v>
      </c>
      <c r="BA9" s="23">
        <f>3.55+1</f>
        <v>4.55</v>
      </c>
      <c r="BB9" s="23">
        <v>1</v>
      </c>
      <c r="BC9" s="23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outlineLevel="1" collapsed="1" x14ac:dyDescent="0.3">
      <c r="A10" s="9"/>
      <c r="B10" s="9"/>
      <c r="C10" s="10" t="s">
        <v>41</v>
      </c>
      <c r="D10" s="11" t="s">
        <v>42</v>
      </c>
      <c r="E10" s="44">
        <v>343.55</v>
      </c>
      <c r="F10" s="37">
        <f t="shared" si="10"/>
        <v>-20</v>
      </c>
      <c r="G10" s="51">
        <f t="shared" si="4"/>
        <v>323.55</v>
      </c>
      <c r="H10" s="78">
        <v>250</v>
      </c>
      <c r="I10" s="24"/>
      <c r="J10" s="24">
        <f t="shared" si="0"/>
        <v>258.05</v>
      </c>
      <c r="K10" s="24">
        <f t="shared" si="1"/>
        <v>0</v>
      </c>
      <c r="L10" s="44">
        <f t="shared" si="5"/>
        <v>258.05</v>
      </c>
      <c r="M10" s="37"/>
      <c r="N10" s="37"/>
      <c r="O10" s="37">
        <v>-10</v>
      </c>
      <c r="P10" s="51">
        <f t="shared" si="6"/>
        <v>248.05</v>
      </c>
      <c r="Q10" s="24"/>
      <c r="R10" s="24">
        <f t="shared" si="2"/>
        <v>75.5</v>
      </c>
      <c r="S10" s="2">
        <f t="shared" si="7"/>
        <v>0</v>
      </c>
      <c r="T10" s="44">
        <f t="shared" si="8"/>
        <v>75.5</v>
      </c>
      <c r="U10" s="37"/>
      <c r="V10" s="37">
        <v>-10</v>
      </c>
      <c r="W10" s="37"/>
      <c r="X10" s="37"/>
      <c r="Y10" s="37"/>
      <c r="Z10" s="51">
        <f t="shared" si="9"/>
        <v>65.5</v>
      </c>
      <c r="AA10" s="24"/>
      <c r="AB10" s="5"/>
      <c r="AC10" s="1"/>
      <c r="AD10" s="23">
        <v>30</v>
      </c>
      <c r="AE10" s="23">
        <v>0</v>
      </c>
      <c r="AF10" s="23"/>
      <c r="AG10" s="23">
        <v>45.5</v>
      </c>
      <c r="AH10" s="23"/>
      <c r="AI10" s="23">
        <v>0</v>
      </c>
      <c r="AJ10" s="23">
        <v>12.8</v>
      </c>
      <c r="AK10" s="23">
        <v>70.2</v>
      </c>
      <c r="AL10" s="23">
        <v>31.35</v>
      </c>
      <c r="AM10" s="23">
        <v>32.799999999999997</v>
      </c>
      <c r="AN10" s="23">
        <v>4.9000000000000004</v>
      </c>
      <c r="AO10" s="23">
        <v>0</v>
      </c>
      <c r="AP10" s="23">
        <v>3.5</v>
      </c>
      <c r="AQ10" s="23">
        <v>3.4</v>
      </c>
      <c r="AR10" s="23">
        <f>3.5-1</f>
        <v>2.5</v>
      </c>
      <c r="AS10" s="23">
        <f>21.5-6.5</f>
        <v>15</v>
      </c>
      <c r="AT10" s="23">
        <v>8.8000000000000007</v>
      </c>
      <c r="AU10" s="23">
        <v>16.899999999999999</v>
      </c>
      <c r="AV10" s="23">
        <v>4.4000000000000004</v>
      </c>
      <c r="AW10" s="23">
        <v>4.25</v>
      </c>
      <c r="AX10" s="23">
        <v>10.65</v>
      </c>
      <c r="AY10" s="23">
        <v>11.1</v>
      </c>
      <c r="AZ10" s="23">
        <v>10</v>
      </c>
      <c r="BA10" s="23">
        <v>4.8499999999999996</v>
      </c>
      <c r="BB10" s="23">
        <f>13.15-2.5</f>
        <v>10.65</v>
      </c>
      <c r="BC10" s="23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</row>
    <row r="11" spans="1:70" outlineLevel="1" collapsed="1" x14ac:dyDescent="0.3">
      <c r="A11" s="6"/>
      <c r="B11" s="6"/>
      <c r="C11" s="7" t="s">
        <v>43</v>
      </c>
      <c r="D11" s="8" t="s">
        <v>44</v>
      </c>
      <c r="E11" s="44">
        <v>46.8</v>
      </c>
      <c r="F11" s="37">
        <f t="shared" si="10"/>
        <v>-5</v>
      </c>
      <c r="G11" s="51">
        <f t="shared" si="4"/>
        <v>41.8</v>
      </c>
      <c r="H11" s="78">
        <v>40</v>
      </c>
      <c r="I11" s="24"/>
      <c r="J11" s="24">
        <f t="shared" si="0"/>
        <v>13</v>
      </c>
      <c r="K11" s="24">
        <f t="shared" si="1"/>
        <v>0</v>
      </c>
      <c r="L11" s="44">
        <f t="shared" si="5"/>
        <v>13</v>
      </c>
      <c r="M11" s="37"/>
      <c r="N11" s="37"/>
      <c r="O11" s="37"/>
      <c r="P11" s="51">
        <f t="shared" si="6"/>
        <v>13</v>
      </c>
      <c r="Q11" s="24"/>
      <c r="R11" s="24">
        <f t="shared" si="2"/>
        <v>33.799999999999997</v>
      </c>
      <c r="S11" s="2">
        <f t="shared" si="7"/>
        <v>0</v>
      </c>
      <c r="T11" s="44">
        <f t="shared" si="8"/>
        <v>33.799999999999997</v>
      </c>
      <c r="U11" s="37"/>
      <c r="V11" s="37">
        <v>-5</v>
      </c>
      <c r="W11" s="37"/>
      <c r="X11" s="37"/>
      <c r="Y11" s="37"/>
      <c r="Z11" s="51">
        <f t="shared" si="9"/>
        <v>28.799999999999997</v>
      </c>
      <c r="AA11" s="24"/>
      <c r="AB11" s="5"/>
      <c r="AC11" s="1"/>
      <c r="AD11" s="23"/>
      <c r="AE11" s="23"/>
      <c r="AF11" s="23"/>
      <c r="AG11" s="23">
        <v>33.799999999999997</v>
      </c>
      <c r="AH11" s="23"/>
      <c r="AI11" s="23"/>
      <c r="AJ11" s="23"/>
      <c r="AK11" s="23"/>
      <c r="AL11" s="23"/>
      <c r="AM11" s="23"/>
      <c r="AN11" s="23"/>
      <c r="AO11" s="23"/>
      <c r="AP11" s="23"/>
      <c r="AQ11" s="23">
        <v>2</v>
      </c>
      <c r="AR11" s="23">
        <v>1</v>
      </c>
      <c r="AS11" s="23"/>
      <c r="AT11" s="23"/>
      <c r="AU11" s="23"/>
      <c r="AV11" s="23"/>
      <c r="AW11" s="23"/>
      <c r="AX11" s="23"/>
      <c r="AY11" s="23"/>
      <c r="AZ11" s="23"/>
      <c r="BA11" s="23"/>
      <c r="BB11" s="23">
        <v>10</v>
      </c>
      <c r="BC11" s="23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</row>
    <row r="12" spans="1:70" outlineLevel="1" collapsed="1" x14ac:dyDescent="0.3">
      <c r="A12" s="9"/>
      <c r="B12" s="9"/>
      <c r="C12" s="10" t="s">
        <v>45</v>
      </c>
      <c r="D12" s="11" t="s">
        <v>46</v>
      </c>
      <c r="E12" s="44">
        <v>2401.2979999999998</v>
      </c>
      <c r="F12" s="37">
        <f t="shared" si="10"/>
        <v>-140</v>
      </c>
      <c r="G12" s="51">
        <f t="shared" si="4"/>
        <v>2261.2979999999998</v>
      </c>
      <c r="H12" s="78">
        <v>2200</v>
      </c>
      <c r="I12" s="24"/>
      <c r="J12" s="24">
        <f t="shared" si="0"/>
        <v>1742.8979999999999</v>
      </c>
      <c r="K12" s="24">
        <f t="shared" si="1"/>
        <v>72.75</v>
      </c>
      <c r="L12" s="44">
        <f t="shared" si="5"/>
        <v>1815.6479999999999</v>
      </c>
      <c r="M12" s="39"/>
      <c r="N12" s="37">
        <v>-100</v>
      </c>
      <c r="O12" s="37">
        <v>-40</v>
      </c>
      <c r="P12" s="51">
        <f t="shared" si="6"/>
        <v>1675.6479999999999</v>
      </c>
      <c r="Q12" s="24"/>
      <c r="R12" s="24">
        <f t="shared" si="2"/>
        <v>518.4</v>
      </c>
      <c r="S12" s="2">
        <f t="shared" si="7"/>
        <v>-72.75</v>
      </c>
      <c r="T12" s="44">
        <f t="shared" si="8"/>
        <v>445.65</v>
      </c>
      <c r="U12" s="37"/>
      <c r="V12" s="37"/>
      <c r="W12" s="37"/>
      <c r="X12" s="37"/>
      <c r="Y12" s="37"/>
      <c r="Z12" s="51">
        <f t="shared" si="9"/>
        <v>445.65</v>
      </c>
      <c r="AA12" s="24"/>
      <c r="AB12" s="5"/>
      <c r="AC12" s="1"/>
      <c r="AD12" s="23">
        <v>215</v>
      </c>
      <c r="AE12" s="23">
        <v>145.5</v>
      </c>
      <c r="AF12" s="23">
        <v>0</v>
      </c>
      <c r="AG12" s="23">
        <v>38.5</v>
      </c>
      <c r="AH12" s="23">
        <v>119.4</v>
      </c>
      <c r="AI12" s="23">
        <v>0</v>
      </c>
      <c r="AJ12" s="23">
        <f>80-4.5</f>
        <v>75.5</v>
      </c>
      <c r="AK12" s="23">
        <f>334.416-21.6</f>
        <v>312.81599999999997</v>
      </c>
      <c r="AL12" s="23">
        <v>29.86</v>
      </c>
      <c r="AM12" s="23">
        <f>272.007-11.9</f>
        <v>260.10700000000003</v>
      </c>
      <c r="AN12" s="23">
        <f>44.4-2.1</f>
        <v>42.3</v>
      </c>
      <c r="AO12" s="23">
        <v>3</v>
      </c>
      <c r="AP12" s="23">
        <f>86-6</f>
        <v>80</v>
      </c>
      <c r="AQ12" s="23">
        <f>96.75-5</f>
        <v>91.75</v>
      </c>
      <c r="AR12" s="23">
        <v>9</v>
      </c>
      <c r="AS12" s="23">
        <f>66.5-15</f>
        <v>51.5</v>
      </c>
      <c r="AT12" s="23">
        <f>55-4</f>
        <v>51</v>
      </c>
      <c r="AU12" s="23">
        <f>163.7-8</f>
        <v>155.69999999999999</v>
      </c>
      <c r="AV12" s="23">
        <f>93.85-8.3</f>
        <v>85.55</v>
      </c>
      <c r="AW12" s="23">
        <f>78.3-25</f>
        <v>53.3</v>
      </c>
      <c r="AX12" s="23">
        <f>156.465-12.4</f>
        <v>144.065</v>
      </c>
      <c r="AY12" s="23">
        <f>97.3000000000001-5.8</f>
        <v>91.500000000000099</v>
      </c>
      <c r="AZ12" s="23">
        <f>54.05-5</f>
        <v>49.05</v>
      </c>
      <c r="BA12" s="23">
        <f>124-5</f>
        <v>119</v>
      </c>
      <c r="BB12" s="23">
        <f>38.3-0.4</f>
        <v>37.9</v>
      </c>
      <c r="BC12" s="23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outlineLevel="1" collapsed="1" x14ac:dyDescent="0.3">
      <c r="A13" s="6"/>
      <c r="B13" s="6"/>
      <c r="C13" s="7" t="s">
        <v>47</v>
      </c>
      <c r="D13" s="8" t="s">
        <v>48</v>
      </c>
      <c r="E13" s="44">
        <v>200</v>
      </c>
      <c r="F13" s="37">
        <f t="shared" si="10"/>
        <v>0</v>
      </c>
      <c r="G13" s="51">
        <f t="shared" si="4"/>
        <v>200</v>
      </c>
      <c r="H13" s="78">
        <f t="shared" si="11"/>
        <v>200</v>
      </c>
      <c r="I13" s="24"/>
      <c r="J13" s="24">
        <f t="shared" si="0"/>
        <v>0</v>
      </c>
      <c r="K13" s="24">
        <f t="shared" si="1"/>
        <v>0</v>
      </c>
      <c r="L13" s="44">
        <f t="shared" si="5"/>
        <v>0</v>
      </c>
      <c r="M13" s="37"/>
      <c r="N13" s="37"/>
      <c r="O13" s="37"/>
      <c r="P13" s="51">
        <f t="shared" si="6"/>
        <v>0</v>
      </c>
      <c r="Q13" s="24"/>
      <c r="R13" s="24">
        <f t="shared" si="2"/>
        <v>200</v>
      </c>
      <c r="S13" s="2">
        <f t="shared" si="7"/>
        <v>0</v>
      </c>
      <c r="T13" s="44">
        <f t="shared" si="8"/>
        <v>200</v>
      </c>
      <c r="U13" s="37"/>
      <c r="V13" s="37"/>
      <c r="W13" s="37"/>
      <c r="X13" s="37"/>
      <c r="Y13" s="37"/>
      <c r="Z13" s="51">
        <f t="shared" si="9"/>
        <v>200</v>
      </c>
      <c r="AA13" s="24"/>
      <c r="AB13" s="5"/>
      <c r="AC13" s="1"/>
      <c r="AD13" s="23"/>
      <c r="AE13" s="23"/>
      <c r="AF13" s="23"/>
      <c r="AG13" s="23"/>
      <c r="AH13" s="23">
        <v>200</v>
      </c>
      <c r="AI13" s="23"/>
      <c r="AJ13" s="23"/>
      <c r="AK13" s="23"/>
      <c r="AL13" s="23">
        <v>0</v>
      </c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4" customFormat="1" ht="13.8" x14ac:dyDescent="0.3">
      <c r="A14" s="27" t="s">
        <v>49</v>
      </c>
      <c r="B14" s="28" t="s">
        <v>50</v>
      </c>
      <c r="C14" s="27"/>
      <c r="D14" s="29"/>
      <c r="E14" s="43">
        <v>7309.2340000000004</v>
      </c>
      <c r="F14" s="36">
        <f>SUM(F15:F20)</f>
        <v>-981.74999999999955</v>
      </c>
      <c r="G14" s="50">
        <f t="shared" si="4"/>
        <v>6327.4840000000004</v>
      </c>
      <c r="H14" s="75">
        <f>SUM(H15:H20)</f>
        <v>6058.3050000000003</v>
      </c>
      <c r="I14" s="21"/>
      <c r="J14" s="21">
        <f t="shared" si="0"/>
        <v>3420.3140000000008</v>
      </c>
      <c r="K14" s="21">
        <f t="shared" si="1"/>
        <v>688.55000000000007</v>
      </c>
      <c r="L14" s="43">
        <f t="shared" si="5"/>
        <v>4108.8640000000005</v>
      </c>
      <c r="M14" s="36">
        <f>SUM(M15:M20)</f>
        <v>0</v>
      </c>
      <c r="N14" s="36">
        <f>SUM(N15:N20)</f>
        <v>0</v>
      </c>
      <c r="O14" s="36">
        <f>SUM(O15:O20)</f>
        <v>-20</v>
      </c>
      <c r="P14" s="50">
        <f t="shared" si="6"/>
        <v>4088.8640000000005</v>
      </c>
      <c r="Q14" s="21"/>
      <c r="R14" s="21">
        <f t="shared" si="2"/>
        <v>3868.9199999999992</v>
      </c>
      <c r="S14" s="20">
        <f t="shared" si="7"/>
        <v>-688.55000000000007</v>
      </c>
      <c r="T14" s="43">
        <f t="shared" si="8"/>
        <v>3180.369999999999</v>
      </c>
      <c r="U14" s="36">
        <f t="shared" ref="U14:V14" si="14">SUM(U15:U20)</f>
        <v>-511.74999999999949</v>
      </c>
      <c r="V14" s="36">
        <f t="shared" si="14"/>
        <v>-90</v>
      </c>
      <c r="W14" s="36">
        <f>SUM(W15:W20)</f>
        <v>-125</v>
      </c>
      <c r="X14" s="36">
        <f>SUM(X15:X20)</f>
        <v>-90</v>
      </c>
      <c r="Y14" s="36">
        <f>SUM(Y15:Y20)</f>
        <v>-145</v>
      </c>
      <c r="Z14" s="50">
        <f t="shared" si="9"/>
        <v>2218.6199999999994</v>
      </c>
      <c r="AA14" s="21"/>
      <c r="AC14" s="13"/>
      <c r="AD14" s="22">
        <f>SUBTOTAL(9,AD15:AD20)</f>
        <v>1023.499999999999</v>
      </c>
      <c r="AE14" s="22">
        <f t="shared" ref="AE14:BC14" si="15">SUBTOTAL(9,AE15:AE20)</f>
        <v>1377.1000000000001</v>
      </c>
      <c r="AF14" s="22">
        <f t="shared" si="15"/>
        <v>324.41999999999996</v>
      </c>
      <c r="AG14" s="22">
        <f t="shared" si="15"/>
        <v>1072.5999999999999</v>
      </c>
      <c r="AH14" s="22">
        <f t="shared" si="15"/>
        <v>71.3</v>
      </c>
      <c r="AI14" s="22">
        <f t="shared" si="15"/>
        <v>0</v>
      </c>
      <c r="AJ14" s="22">
        <f t="shared" si="15"/>
        <v>199.76</v>
      </c>
      <c r="AK14" s="22">
        <f t="shared" si="15"/>
        <v>418.84</v>
      </c>
      <c r="AL14" s="22">
        <f t="shared" si="15"/>
        <v>232.51399999999998</v>
      </c>
      <c r="AM14" s="22">
        <f t="shared" si="15"/>
        <v>288.54000000000002</v>
      </c>
      <c r="AN14" s="22">
        <f t="shared" si="15"/>
        <v>115.86000000000008</v>
      </c>
      <c r="AO14" s="22">
        <f t="shared" si="15"/>
        <v>104.8</v>
      </c>
      <c r="AP14" s="22">
        <f t="shared" si="15"/>
        <v>265.61000000000007</v>
      </c>
      <c r="AQ14" s="22">
        <f t="shared" si="15"/>
        <v>129.70499999999998</v>
      </c>
      <c r="AR14" s="22">
        <f t="shared" si="15"/>
        <v>35.700000000000003</v>
      </c>
      <c r="AS14" s="22">
        <f t="shared" si="15"/>
        <v>89.2</v>
      </c>
      <c r="AT14" s="22">
        <f t="shared" si="15"/>
        <v>123.7</v>
      </c>
      <c r="AU14" s="22">
        <f t="shared" si="15"/>
        <v>209.95999999999998</v>
      </c>
      <c r="AV14" s="22">
        <f t="shared" si="15"/>
        <v>197.55000000000004</v>
      </c>
      <c r="AW14" s="22">
        <f t="shared" si="15"/>
        <v>116.4</v>
      </c>
      <c r="AX14" s="22">
        <f t="shared" si="15"/>
        <v>301.65000000000009</v>
      </c>
      <c r="AY14" s="22">
        <f t="shared" si="15"/>
        <v>256.255</v>
      </c>
      <c r="AZ14" s="22">
        <f t="shared" si="15"/>
        <v>179.96</v>
      </c>
      <c r="BA14" s="22">
        <f t="shared" si="15"/>
        <v>97.809999999999988</v>
      </c>
      <c r="BB14" s="22">
        <f t="shared" si="15"/>
        <v>56.5</v>
      </c>
      <c r="BC14" s="22">
        <f t="shared" si="15"/>
        <v>0</v>
      </c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</row>
    <row r="15" spans="1:70" outlineLevel="1" collapsed="1" x14ac:dyDescent="0.3">
      <c r="A15" s="6"/>
      <c r="B15" s="6"/>
      <c r="C15" s="7" t="s">
        <v>51</v>
      </c>
      <c r="D15" s="8" t="s">
        <v>52</v>
      </c>
      <c r="E15" s="44">
        <v>5587.9740000000002</v>
      </c>
      <c r="F15" s="37">
        <f t="shared" si="10"/>
        <v>-517.99999999999955</v>
      </c>
      <c r="G15" s="51">
        <f t="shared" si="4"/>
        <v>5069.9740000000002</v>
      </c>
      <c r="H15" s="78">
        <v>4892</v>
      </c>
      <c r="I15" s="24"/>
      <c r="J15" s="24">
        <f t="shared" si="0"/>
        <v>2951.0540000000005</v>
      </c>
      <c r="K15" s="24">
        <f t="shared" si="1"/>
        <v>532.95000000000005</v>
      </c>
      <c r="L15" s="44">
        <f t="shared" si="5"/>
        <v>3484.0040000000008</v>
      </c>
      <c r="M15" s="37"/>
      <c r="N15" s="37"/>
      <c r="O15" s="37">
        <v>-20</v>
      </c>
      <c r="P15" s="51">
        <f t="shared" si="6"/>
        <v>3464.0040000000008</v>
      </c>
      <c r="Q15" s="24"/>
      <c r="R15" s="24">
        <f t="shared" si="2"/>
        <v>2616.9199999999992</v>
      </c>
      <c r="S15" s="2">
        <f t="shared" si="7"/>
        <v>-532.95000000000005</v>
      </c>
      <c r="T15" s="44">
        <f t="shared" si="8"/>
        <v>2083.9699999999993</v>
      </c>
      <c r="U15" s="37">
        <f t="shared" ref="U15:U20" si="16">AD15/-2</f>
        <v>-277.99999999999949</v>
      </c>
      <c r="V15" s="37">
        <v>-20</v>
      </c>
      <c r="W15" s="37">
        <v>-80</v>
      </c>
      <c r="X15" s="37">
        <v>-40</v>
      </c>
      <c r="Y15" s="37">
        <v>-80</v>
      </c>
      <c r="Z15" s="51">
        <f t="shared" si="9"/>
        <v>1585.9699999999998</v>
      </c>
      <c r="AA15" s="24"/>
      <c r="AB15" s="5"/>
      <c r="AC15" s="1"/>
      <c r="AD15" s="23">
        <v>555.99999999999898</v>
      </c>
      <c r="AE15" s="23">
        <v>1065.9000000000001</v>
      </c>
      <c r="AF15" s="23">
        <v>128.72</v>
      </c>
      <c r="AG15" s="23">
        <v>866.3</v>
      </c>
      <c r="AH15" s="23"/>
      <c r="AI15" s="23">
        <v>0</v>
      </c>
      <c r="AJ15" s="23">
        <v>176.26</v>
      </c>
      <c r="AK15" s="23">
        <v>363.2</v>
      </c>
      <c r="AL15" s="23">
        <v>192.964</v>
      </c>
      <c r="AM15" s="23">
        <v>261.94</v>
      </c>
      <c r="AN15" s="23">
        <v>97.460000000000093</v>
      </c>
      <c r="AO15" s="23">
        <f>96.8-5</f>
        <v>91.8</v>
      </c>
      <c r="AP15" s="23">
        <v>213.86</v>
      </c>
      <c r="AQ15" s="23">
        <v>108.94</v>
      </c>
      <c r="AR15" s="23">
        <f>37.2-3</f>
        <v>34.200000000000003</v>
      </c>
      <c r="AS15" s="23">
        <f>91.2-5</f>
        <v>86.2</v>
      </c>
      <c r="AT15" s="23">
        <v>112.5</v>
      </c>
      <c r="AU15" s="23">
        <v>190.56</v>
      </c>
      <c r="AV15" s="23">
        <v>187.3</v>
      </c>
      <c r="AW15" s="23">
        <f>117.45-7</f>
        <v>110.45</v>
      </c>
      <c r="AX15" s="23">
        <v>227.4</v>
      </c>
      <c r="AY15" s="23">
        <v>207.9</v>
      </c>
      <c r="AZ15" s="23">
        <v>146.76</v>
      </c>
      <c r="BA15" s="23">
        <v>88.96</v>
      </c>
      <c r="BB15" s="23">
        <v>52.4</v>
      </c>
      <c r="BC15" s="23">
        <v>0</v>
      </c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outlineLevel="1" collapsed="1" x14ac:dyDescent="0.3">
      <c r="A16" s="9"/>
      <c r="B16" s="9"/>
      <c r="C16" s="10" t="s">
        <v>53</v>
      </c>
      <c r="D16" s="11" t="s">
        <v>54</v>
      </c>
      <c r="E16" s="44">
        <v>141.30500000000001</v>
      </c>
      <c r="F16" s="37">
        <f t="shared" si="10"/>
        <v>0</v>
      </c>
      <c r="G16" s="51">
        <f t="shared" si="4"/>
        <v>141.30500000000001</v>
      </c>
      <c r="H16" s="78">
        <f t="shared" si="11"/>
        <v>141.30500000000001</v>
      </c>
      <c r="I16" s="24"/>
      <c r="J16" s="24">
        <f t="shared" si="0"/>
        <v>94.805000000000007</v>
      </c>
      <c r="K16" s="24">
        <f t="shared" si="1"/>
        <v>10.25</v>
      </c>
      <c r="L16" s="44">
        <f t="shared" si="5"/>
        <v>105.05500000000001</v>
      </c>
      <c r="M16" s="37"/>
      <c r="N16" s="37"/>
      <c r="O16" s="37"/>
      <c r="P16" s="51">
        <f t="shared" si="6"/>
        <v>105.05500000000001</v>
      </c>
      <c r="Q16" s="24"/>
      <c r="R16" s="24">
        <f t="shared" si="2"/>
        <v>46.5</v>
      </c>
      <c r="S16" s="2">
        <f t="shared" si="7"/>
        <v>-10.25</v>
      </c>
      <c r="T16" s="44">
        <f t="shared" si="8"/>
        <v>36.25</v>
      </c>
      <c r="U16" s="37">
        <f t="shared" si="16"/>
        <v>0</v>
      </c>
      <c r="V16" s="37"/>
      <c r="W16" s="37"/>
      <c r="X16" s="37"/>
      <c r="Y16" s="37"/>
      <c r="Z16" s="51">
        <f t="shared" si="9"/>
        <v>36.25</v>
      </c>
      <c r="AA16" s="24"/>
      <c r="AB16" s="5"/>
      <c r="AC16" s="1"/>
      <c r="AD16" s="23"/>
      <c r="AE16" s="23">
        <v>20.5</v>
      </c>
      <c r="AF16" s="23"/>
      <c r="AG16" s="23">
        <v>0</v>
      </c>
      <c r="AH16" s="23">
        <v>26</v>
      </c>
      <c r="AI16" s="23"/>
      <c r="AJ16" s="23">
        <v>0</v>
      </c>
      <c r="AK16" s="23">
        <v>11.94</v>
      </c>
      <c r="AL16" s="23"/>
      <c r="AM16" s="23"/>
      <c r="AN16" s="23"/>
      <c r="AO16" s="23"/>
      <c r="AP16" s="23">
        <v>23.8</v>
      </c>
      <c r="AQ16" s="23">
        <v>1.5649999999999999</v>
      </c>
      <c r="AR16" s="23"/>
      <c r="AS16" s="23"/>
      <c r="AT16" s="23">
        <v>0</v>
      </c>
      <c r="AU16" s="23">
        <v>5.5</v>
      </c>
      <c r="AV16" s="23"/>
      <c r="AW16" s="23"/>
      <c r="AX16" s="23"/>
      <c r="AY16" s="23">
        <v>28</v>
      </c>
      <c r="AZ16" s="23">
        <v>24</v>
      </c>
      <c r="BA16" s="23"/>
      <c r="BB16" s="23"/>
      <c r="BC16" s="23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outlineLevel="1" collapsed="1" x14ac:dyDescent="0.3">
      <c r="A17" s="6"/>
      <c r="B17" s="6"/>
      <c r="C17" s="7" t="s">
        <v>55</v>
      </c>
      <c r="D17" s="8" t="s">
        <v>56</v>
      </c>
      <c r="E17" s="44">
        <v>389.15</v>
      </c>
      <c r="F17" s="37">
        <f t="shared" si="10"/>
        <v>-167.25</v>
      </c>
      <c r="G17" s="51">
        <f t="shared" si="4"/>
        <v>221.89999999999998</v>
      </c>
      <c r="H17" s="78">
        <v>200</v>
      </c>
      <c r="I17" s="24"/>
      <c r="J17" s="24">
        <f t="shared" si="0"/>
        <v>7.95</v>
      </c>
      <c r="K17" s="24">
        <f t="shared" si="1"/>
        <v>0</v>
      </c>
      <c r="L17" s="44">
        <f t="shared" si="5"/>
        <v>7.95</v>
      </c>
      <c r="M17" s="37"/>
      <c r="N17" s="37"/>
      <c r="O17" s="37"/>
      <c r="P17" s="51">
        <f t="shared" si="6"/>
        <v>7.95</v>
      </c>
      <c r="Q17" s="24"/>
      <c r="R17" s="24">
        <f t="shared" si="2"/>
        <v>381.2</v>
      </c>
      <c r="S17" s="2">
        <f t="shared" si="7"/>
        <v>0</v>
      </c>
      <c r="T17" s="44">
        <f t="shared" si="8"/>
        <v>381.2</v>
      </c>
      <c r="U17" s="37">
        <f t="shared" si="16"/>
        <v>-157.25</v>
      </c>
      <c r="V17" s="37">
        <v>-10</v>
      </c>
      <c r="W17" s="37"/>
      <c r="X17" s="37"/>
      <c r="Y17" s="37"/>
      <c r="Z17" s="51">
        <f t="shared" si="9"/>
        <v>213.95</v>
      </c>
      <c r="AA17" s="24"/>
      <c r="AB17" s="5"/>
      <c r="AC17" s="1"/>
      <c r="AD17" s="23">
        <v>314.5</v>
      </c>
      <c r="AE17" s="23">
        <v>0</v>
      </c>
      <c r="AF17" s="23">
        <v>11.7</v>
      </c>
      <c r="AG17" s="23">
        <v>55</v>
      </c>
      <c r="AH17" s="23"/>
      <c r="AI17" s="23">
        <v>0</v>
      </c>
      <c r="AJ17" s="23"/>
      <c r="AK17" s="23"/>
      <c r="AL17" s="23"/>
      <c r="AM17" s="23">
        <v>7.7</v>
      </c>
      <c r="AN17" s="23"/>
      <c r="AO17" s="23"/>
      <c r="AP17" s="23"/>
      <c r="AQ17" s="23"/>
      <c r="AR17" s="23"/>
      <c r="AS17" s="23"/>
      <c r="AT17" s="23">
        <v>0.25</v>
      </c>
      <c r="AU17" s="23"/>
      <c r="AV17" s="23"/>
      <c r="AW17" s="23"/>
      <c r="AX17" s="23"/>
      <c r="AY17" s="23"/>
      <c r="AZ17" s="23">
        <v>0</v>
      </c>
      <c r="BA17" s="23">
        <v>0</v>
      </c>
      <c r="BB17" s="23">
        <v>0</v>
      </c>
      <c r="BC17" s="23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outlineLevel="1" collapsed="1" x14ac:dyDescent="0.3">
      <c r="A18" s="9"/>
      <c r="B18" s="9"/>
      <c r="C18" s="10" t="s">
        <v>57</v>
      </c>
      <c r="D18" s="11" t="s">
        <v>58</v>
      </c>
      <c r="E18" s="44">
        <v>416.505</v>
      </c>
      <c r="F18" s="37">
        <f t="shared" si="10"/>
        <v>-152.5</v>
      </c>
      <c r="G18" s="51">
        <f t="shared" si="4"/>
        <v>264.005</v>
      </c>
      <c r="H18" s="78">
        <v>250</v>
      </c>
      <c r="I18" s="24"/>
      <c r="J18" s="24">
        <f t="shared" si="0"/>
        <v>148.70500000000001</v>
      </c>
      <c r="K18" s="24">
        <f t="shared" si="1"/>
        <v>15</v>
      </c>
      <c r="L18" s="44">
        <f t="shared" si="5"/>
        <v>163.70500000000001</v>
      </c>
      <c r="M18" s="37"/>
      <c r="N18" s="37"/>
      <c r="O18" s="37"/>
      <c r="P18" s="51">
        <f t="shared" si="6"/>
        <v>163.70500000000001</v>
      </c>
      <c r="Q18" s="24"/>
      <c r="R18" s="24">
        <f t="shared" si="2"/>
        <v>267.8</v>
      </c>
      <c r="S18" s="2">
        <f t="shared" si="7"/>
        <v>-15</v>
      </c>
      <c r="T18" s="44">
        <f t="shared" si="8"/>
        <v>252.8</v>
      </c>
      <c r="U18" s="37">
        <f t="shared" si="16"/>
        <v>-32.5</v>
      </c>
      <c r="V18" s="37">
        <v>-10</v>
      </c>
      <c r="W18" s="37">
        <v>-20</v>
      </c>
      <c r="X18" s="37">
        <v>-50</v>
      </c>
      <c r="Y18" s="37">
        <v>-40</v>
      </c>
      <c r="Z18" s="51">
        <f t="shared" si="9"/>
        <v>100.30000000000001</v>
      </c>
      <c r="AA18" s="24"/>
      <c r="AB18" s="5"/>
      <c r="AC18" s="1"/>
      <c r="AD18" s="23">
        <v>65</v>
      </c>
      <c r="AE18" s="23">
        <v>30</v>
      </c>
      <c r="AF18" s="23">
        <v>122</v>
      </c>
      <c r="AG18" s="23">
        <v>5.5</v>
      </c>
      <c r="AH18" s="23">
        <v>45.3</v>
      </c>
      <c r="AI18" s="23">
        <v>0</v>
      </c>
      <c r="AJ18" s="23">
        <v>13.5</v>
      </c>
      <c r="AK18" s="23">
        <v>12.7</v>
      </c>
      <c r="AL18" s="23">
        <v>7.1</v>
      </c>
      <c r="AM18" s="23">
        <v>12.1</v>
      </c>
      <c r="AN18" s="23">
        <v>11.95</v>
      </c>
      <c r="AO18" s="23">
        <v>0</v>
      </c>
      <c r="AP18" s="23">
        <v>20.3</v>
      </c>
      <c r="AQ18" s="23">
        <v>7.9</v>
      </c>
      <c r="AR18" s="23"/>
      <c r="AS18" s="23"/>
      <c r="AT18" s="23">
        <v>10</v>
      </c>
      <c r="AU18" s="23">
        <v>10.7</v>
      </c>
      <c r="AV18" s="23">
        <v>7.3</v>
      </c>
      <c r="AW18" s="23">
        <v>5.25</v>
      </c>
      <c r="AX18" s="23">
        <v>7.25</v>
      </c>
      <c r="AY18" s="23">
        <v>8.3550000000000004</v>
      </c>
      <c r="AZ18" s="23">
        <v>6.5</v>
      </c>
      <c r="BA18" s="23">
        <v>5.5</v>
      </c>
      <c r="BB18" s="23">
        <v>2.2999999999999998</v>
      </c>
      <c r="BC18" s="23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outlineLevel="1" collapsed="1" x14ac:dyDescent="0.3">
      <c r="A19" s="6"/>
      <c r="B19" s="6"/>
      <c r="C19" s="7" t="s">
        <v>59</v>
      </c>
      <c r="D19" s="8" t="s">
        <v>60</v>
      </c>
      <c r="E19" s="44">
        <v>277.75</v>
      </c>
      <c r="F19" s="37">
        <f t="shared" si="10"/>
        <v>-101.5</v>
      </c>
      <c r="G19" s="51">
        <f t="shared" si="4"/>
        <v>176.25</v>
      </c>
      <c r="H19" s="78">
        <v>150</v>
      </c>
      <c r="I19" s="24"/>
      <c r="J19" s="24">
        <f t="shared" si="0"/>
        <v>76.249999999999986</v>
      </c>
      <c r="K19" s="24">
        <f t="shared" si="1"/>
        <v>98.1</v>
      </c>
      <c r="L19" s="44">
        <f t="shared" si="5"/>
        <v>174.34999999999997</v>
      </c>
      <c r="M19" s="37"/>
      <c r="N19" s="37"/>
      <c r="O19" s="37"/>
      <c r="P19" s="51">
        <f t="shared" si="6"/>
        <v>174.34999999999997</v>
      </c>
      <c r="Q19" s="24"/>
      <c r="R19" s="24">
        <f t="shared" si="2"/>
        <v>201.5</v>
      </c>
      <c r="S19" s="2">
        <f t="shared" si="7"/>
        <v>-98.1</v>
      </c>
      <c r="T19" s="44">
        <f t="shared" si="8"/>
        <v>103.4</v>
      </c>
      <c r="U19" s="37">
        <f t="shared" si="16"/>
        <v>-1.5</v>
      </c>
      <c r="V19" s="37">
        <v>-50</v>
      </c>
      <c r="W19" s="37">
        <v>-25</v>
      </c>
      <c r="X19" s="37"/>
      <c r="Y19" s="37">
        <v>-25</v>
      </c>
      <c r="Z19" s="51">
        <f t="shared" si="9"/>
        <v>1.9000000000000057</v>
      </c>
      <c r="AA19" s="24"/>
      <c r="AB19" s="5"/>
      <c r="AC19" s="1"/>
      <c r="AD19" s="23">
        <v>3</v>
      </c>
      <c r="AE19" s="23">
        <v>196.2</v>
      </c>
      <c r="AF19" s="23">
        <v>0</v>
      </c>
      <c r="AG19" s="23">
        <v>2.2999999999999998</v>
      </c>
      <c r="AH19" s="23">
        <v>0</v>
      </c>
      <c r="AI19" s="23"/>
      <c r="AJ19" s="23">
        <v>5.5</v>
      </c>
      <c r="AK19" s="23">
        <v>26.5</v>
      </c>
      <c r="AL19" s="23">
        <v>1.85</v>
      </c>
      <c r="AM19" s="23">
        <v>6.7</v>
      </c>
      <c r="AN19" s="23">
        <v>1.2</v>
      </c>
      <c r="AO19" s="23">
        <v>6</v>
      </c>
      <c r="AP19" s="23">
        <v>2.35</v>
      </c>
      <c r="AQ19" s="23">
        <v>3.8</v>
      </c>
      <c r="AR19" s="23">
        <v>0.5</v>
      </c>
      <c r="AS19" s="23">
        <v>1.5</v>
      </c>
      <c r="AT19" s="23">
        <v>0.70000000000000095</v>
      </c>
      <c r="AU19" s="23">
        <v>2.1</v>
      </c>
      <c r="AV19" s="23">
        <v>2.0499999999999998</v>
      </c>
      <c r="AW19" s="23">
        <v>0</v>
      </c>
      <c r="AX19" s="23">
        <v>7.0999999999999899</v>
      </c>
      <c r="AY19" s="23">
        <v>5.6</v>
      </c>
      <c r="AZ19" s="23">
        <v>1.1499999999999999</v>
      </c>
      <c r="BA19" s="23">
        <v>1.05</v>
      </c>
      <c r="BB19" s="23">
        <v>0.6</v>
      </c>
      <c r="BC19" s="23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outlineLevel="1" collapsed="1" x14ac:dyDescent="0.3">
      <c r="A20" s="9"/>
      <c r="B20" s="9"/>
      <c r="C20" s="10" t="s">
        <v>61</v>
      </c>
      <c r="D20" s="11" t="s">
        <v>62</v>
      </c>
      <c r="E20" s="44">
        <v>496.55</v>
      </c>
      <c r="F20" s="37">
        <f t="shared" si="10"/>
        <v>-42.5</v>
      </c>
      <c r="G20" s="51">
        <f t="shared" si="4"/>
        <v>454.05</v>
      </c>
      <c r="H20" s="78">
        <v>425</v>
      </c>
      <c r="I20" s="24"/>
      <c r="J20" s="24">
        <f t="shared" si="0"/>
        <v>141.55000000000013</v>
      </c>
      <c r="K20" s="24">
        <f t="shared" si="1"/>
        <v>32.25</v>
      </c>
      <c r="L20" s="44">
        <f t="shared" si="5"/>
        <v>173.80000000000013</v>
      </c>
      <c r="M20" s="37"/>
      <c r="N20" s="37"/>
      <c r="O20" s="37"/>
      <c r="P20" s="51">
        <f t="shared" si="6"/>
        <v>173.80000000000013</v>
      </c>
      <c r="Q20" s="24"/>
      <c r="R20" s="24">
        <f t="shared" si="2"/>
        <v>355</v>
      </c>
      <c r="S20" s="2">
        <f t="shared" si="7"/>
        <v>-32.25</v>
      </c>
      <c r="T20" s="44">
        <f t="shared" si="8"/>
        <v>322.75</v>
      </c>
      <c r="U20" s="37">
        <f t="shared" si="16"/>
        <v>-42.5</v>
      </c>
      <c r="V20" s="37"/>
      <c r="W20" s="37"/>
      <c r="X20" s="37"/>
      <c r="Y20" s="37"/>
      <c r="Z20" s="51">
        <f t="shared" si="9"/>
        <v>280.25</v>
      </c>
      <c r="AA20" s="24"/>
      <c r="AB20" s="5"/>
      <c r="AC20" s="1"/>
      <c r="AD20" s="23">
        <v>85</v>
      </c>
      <c r="AE20" s="23">
        <v>64.5</v>
      </c>
      <c r="AF20" s="23">
        <v>62</v>
      </c>
      <c r="AG20" s="23">
        <v>143.5</v>
      </c>
      <c r="AH20" s="23"/>
      <c r="AI20" s="23">
        <v>0</v>
      </c>
      <c r="AJ20" s="23">
        <v>4.5</v>
      </c>
      <c r="AK20" s="23">
        <v>4.5</v>
      </c>
      <c r="AL20" s="23">
        <v>30.6</v>
      </c>
      <c r="AM20" s="23">
        <v>0.1</v>
      </c>
      <c r="AN20" s="23">
        <v>5.2499999999999902</v>
      </c>
      <c r="AO20" s="23">
        <v>7</v>
      </c>
      <c r="AP20" s="23">
        <v>5.3</v>
      </c>
      <c r="AQ20" s="23">
        <v>7.5</v>
      </c>
      <c r="AR20" s="23">
        <v>1</v>
      </c>
      <c r="AS20" s="23">
        <v>1.5</v>
      </c>
      <c r="AT20" s="23">
        <v>0.25</v>
      </c>
      <c r="AU20" s="23">
        <v>1.1000000000000001</v>
      </c>
      <c r="AV20" s="23">
        <v>0.9</v>
      </c>
      <c r="AW20" s="23">
        <v>0.7</v>
      </c>
      <c r="AX20" s="23">
        <v>59.900000000000098</v>
      </c>
      <c r="AY20" s="23">
        <v>6.4</v>
      </c>
      <c r="AZ20" s="23">
        <v>1.55</v>
      </c>
      <c r="BA20" s="23">
        <v>2.2999999999999998</v>
      </c>
      <c r="BB20" s="23">
        <v>1.2</v>
      </c>
      <c r="BC20" s="23">
        <v>0</v>
      </c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</row>
    <row r="21" spans="1:70" s="14" customFormat="1" ht="13.8" x14ac:dyDescent="0.3">
      <c r="A21" s="27" t="s">
        <v>63</v>
      </c>
      <c r="B21" s="28" t="s">
        <v>64</v>
      </c>
      <c r="C21" s="27"/>
      <c r="D21" s="29"/>
      <c r="E21" s="43">
        <v>61.104999999999997</v>
      </c>
      <c r="F21" s="36">
        <f>F22</f>
        <v>0</v>
      </c>
      <c r="G21" s="50">
        <f t="shared" si="4"/>
        <v>61.104999999999997</v>
      </c>
      <c r="H21" s="75">
        <f>H22</f>
        <v>61.104999999999997</v>
      </c>
      <c r="I21" s="21"/>
      <c r="J21" s="21">
        <f t="shared" si="0"/>
        <v>49.205000000000005</v>
      </c>
      <c r="K21" s="21">
        <f t="shared" si="1"/>
        <v>5</v>
      </c>
      <c r="L21" s="43">
        <f t="shared" si="5"/>
        <v>54.205000000000005</v>
      </c>
      <c r="M21" s="36">
        <f>M22</f>
        <v>0</v>
      </c>
      <c r="N21" s="36">
        <f>N22</f>
        <v>0</v>
      </c>
      <c r="O21" s="36">
        <f>O22</f>
        <v>0</v>
      </c>
      <c r="P21" s="50">
        <f t="shared" si="6"/>
        <v>54.205000000000005</v>
      </c>
      <c r="Q21" s="21"/>
      <c r="R21" s="21">
        <f t="shared" si="2"/>
        <v>11.9</v>
      </c>
      <c r="S21" s="20">
        <f t="shared" si="7"/>
        <v>-5</v>
      </c>
      <c r="T21" s="43">
        <f t="shared" si="8"/>
        <v>6.9</v>
      </c>
      <c r="U21" s="36">
        <f t="shared" ref="U21" si="17">U22</f>
        <v>0</v>
      </c>
      <c r="V21" s="36"/>
      <c r="W21" s="36">
        <f>W22</f>
        <v>0</v>
      </c>
      <c r="X21" s="36">
        <f>X22</f>
        <v>0</v>
      </c>
      <c r="Y21" s="36">
        <f>Y22</f>
        <v>0</v>
      </c>
      <c r="Z21" s="50">
        <f t="shared" si="9"/>
        <v>6.9</v>
      </c>
      <c r="AA21" s="21"/>
      <c r="AC21" s="13"/>
      <c r="AD21" s="22">
        <f>SUBTOTAL(9,AD22)</f>
        <v>0</v>
      </c>
      <c r="AE21" s="22">
        <f t="shared" ref="AE21:BC21" si="18">SUBTOTAL(9,AE22)</f>
        <v>10</v>
      </c>
      <c r="AF21" s="22">
        <f t="shared" si="18"/>
        <v>0</v>
      </c>
      <c r="AG21" s="22">
        <f t="shared" si="18"/>
        <v>0</v>
      </c>
      <c r="AH21" s="22">
        <f t="shared" si="18"/>
        <v>1.9</v>
      </c>
      <c r="AI21" s="22">
        <f t="shared" si="18"/>
        <v>0</v>
      </c>
      <c r="AJ21" s="22">
        <f t="shared" si="18"/>
        <v>0.9</v>
      </c>
      <c r="AK21" s="22">
        <f t="shared" si="18"/>
        <v>4</v>
      </c>
      <c r="AL21" s="22">
        <f t="shared" si="18"/>
        <v>0.13</v>
      </c>
      <c r="AM21" s="22">
        <f t="shared" si="18"/>
        <v>18.7</v>
      </c>
      <c r="AN21" s="22">
        <f t="shared" si="18"/>
        <v>0.35</v>
      </c>
      <c r="AO21" s="22">
        <f t="shared" si="18"/>
        <v>0</v>
      </c>
      <c r="AP21" s="22">
        <f t="shared" si="18"/>
        <v>0.6</v>
      </c>
      <c r="AQ21" s="22">
        <f t="shared" si="18"/>
        <v>0.3</v>
      </c>
      <c r="AR21" s="22">
        <f t="shared" si="18"/>
        <v>0</v>
      </c>
      <c r="AS21" s="22">
        <f t="shared" si="18"/>
        <v>0.5</v>
      </c>
      <c r="AT21" s="22">
        <f t="shared" si="18"/>
        <v>0.7</v>
      </c>
      <c r="AU21" s="22">
        <f t="shared" si="18"/>
        <v>0.2</v>
      </c>
      <c r="AV21" s="22">
        <f t="shared" si="18"/>
        <v>0.6</v>
      </c>
      <c r="AW21" s="22">
        <f t="shared" si="18"/>
        <v>0</v>
      </c>
      <c r="AX21" s="22">
        <f t="shared" si="18"/>
        <v>0.5</v>
      </c>
      <c r="AY21" s="22">
        <f t="shared" si="18"/>
        <v>0.9</v>
      </c>
      <c r="AZ21" s="22">
        <f t="shared" si="18"/>
        <v>0.25</v>
      </c>
      <c r="BA21" s="22">
        <f t="shared" si="18"/>
        <v>20.475000000000001</v>
      </c>
      <c r="BB21" s="22">
        <f t="shared" si="18"/>
        <v>0.1</v>
      </c>
      <c r="BC21" s="22">
        <f t="shared" si="18"/>
        <v>0</v>
      </c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</row>
    <row r="22" spans="1:70" outlineLevel="1" collapsed="1" x14ac:dyDescent="0.3">
      <c r="A22" s="6"/>
      <c r="B22" s="6"/>
      <c r="C22" s="7" t="s">
        <v>65</v>
      </c>
      <c r="D22" s="8" t="s">
        <v>66</v>
      </c>
      <c r="E22" s="44">
        <v>61.104999999999997</v>
      </c>
      <c r="F22" s="37">
        <f t="shared" si="10"/>
        <v>0</v>
      </c>
      <c r="G22" s="51">
        <f t="shared" si="4"/>
        <v>61.104999999999997</v>
      </c>
      <c r="H22" s="78">
        <f t="shared" si="11"/>
        <v>61.104999999999997</v>
      </c>
      <c r="I22" s="24"/>
      <c r="J22" s="24">
        <f t="shared" si="0"/>
        <v>49.205000000000005</v>
      </c>
      <c r="K22" s="24">
        <f t="shared" si="1"/>
        <v>5</v>
      </c>
      <c r="L22" s="44">
        <f t="shared" si="5"/>
        <v>54.205000000000005</v>
      </c>
      <c r="M22" s="37"/>
      <c r="N22" s="37"/>
      <c r="O22" s="37"/>
      <c r="P22" s="51">
        <f t="shared" si="6"/>
        <v>54.205000000000005</v>
      </c>
      <c r="Q22" s="24"/>
      <c r="R22" s="24">
        <f t="shared" si="2"/>
        <v>11.9</v>
      </c>
      <c r="S22" s="2">
        <f t="shared" si="7"/>
        <v>-5</v>
      </c>
      <c r="T22" s="44">
        <f t="shared" si="8"/>
        <v>6.9</v>
      </c>
      <c r="U22" s="37"/>
      <c r="V22" s="37"/>
      <c r="W22" s="37"/>
      <c r="X22" s="37"/>
      <c r="Y22" s="37"/>
      <c r="Z22" s="51">
        <f t="shared" si="9"/>
        <v>6.9</v>
      </c>
      <c r="AA22" s="24"/>
      <c r="AB22" s="5"/>
      <c r="AC22" s="1"/>
      <c r="AD22" s="23"/>
      <c r="AE22" s="23">
        <v>10</v>
      </c>
      <c r="AF22" s="23">
        <v>0</v>
      </c>
      <c r="AG22" s="23">
        <v>0</v>
      </c>
      <c r="AH22" s="23">
        <v>1.9</v>
      </c>
      <c r="AI22" s="23">
        <v>0</v>
      </c>
      <c r="AJ22" s="23">
        <v>0.9</v>
      </c>
      <c r="AK22" s="23">
        <v>4</v>
      </c>
      <c r="AL22" s="23">
        <v>0.13</v>
      </c>
      <c r="AM22" s="23">
        <v>18.7</v>
      </c>
      <c r="AN22" s="23">
        <v>0.35</v>
      </c>
      <c r="AO22" s="23">
        <v>0</v>
      </c>
      <c r="AP22" s="23">
        <v>0.6</v>
      </c>
      <c r="AQ22" s="23">
        <v>0.3</v>
      </c>
      <c r="AR22" s="23"/>
      <c r="AS22" s="23">
        <v>0.5</v>
      </c>
      <c r="AT22" s="23">
        <v>0.7</v>
      </c>
      <c r="AU22" s="23">
        <v>0.2</v>
      </c>
      <c r="AV22" s="23">
        <v>0.6</v>
      </c>
      <c r="AW22" s="23">
        <v>0</v>
      </c>
      <c r="AX22" s="23">
        <v>0.5</v>
      </c>
      <c r="AY22" s="23">
        <v>0.9</v>
      </c>
      <c r="AZ22" s="23">
        <v>0.25</v>
      </c>
      <c r="BA22" s="23">
        <v>20.475000000000001</v>
      </c>
      <c r="BB22" s="23">
        <v>0.1</v>
      </c>
      <c r="BC22" s="23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4" customFormat="1" ht="13.8" x14ac:dyDescent="0.3">
      <c r="A23" s="27" t="s">
        <v>67</v>
      </c>
      <c r="B23" s="28" t="s">
        <v>68</v>
      </c>
      <c r="C23" s="27"/>
      <c r="D23" s="29"/>
      <c r="E23" s="43">
        <v>0</v>
      </c>
      <c r="F23" s="37">
        <f t="shared" si="10"/>
        <v>0</v>
      </c>
      <c r="G23" s="50">
        <f t="shared" si="4"/>
        <v>0</v>
      </c>
      <c r="H23" s="75">
        <f t="shared" si="11"/>
        <v>0</v>
      </c>
      <c r="I23" s="21"/>
      <c r="J23" s="21">
        <f t="shared" si="0"/>
        <v>0</v>
      </c>
      <c r="K23" s="21">
        <f t="shared" si="1"/>
        <v>0</v>
      </c>
      <c r="L23" s="43">
        <f t="shared" si="5"/>
        <v>0</v>
      </c>
      <c r="M23" s="36"/>
      <c r="N23" s="36"/>
      <c r="O23" s="36"/>
      <c r="P23" s="50">
        <f t="shared" si="6"/>
        <v>0</v>
      </c>
      <c r="Q23" s="21"/>
      <c r="R23" s="21">
        <f t="shared" si="2"/>
        <v>0</v>
      </c>
      <c r="S23" s="20">
        <f t="shared" si="7"/>
        <v>0</v>
      </c>
      <c r="T23" s="43">
        <f t="shared" si="8"/>
        <v>0</v>
      </c>
      <c r="U23" s="36"/>
      <c r="V23" s="36"/>
      <c r="W23" s="36"/>
      <c r="X23" s="36"/>
      <c r="Y23" s="36"/>
      <c r="Z23" s="50">
        <f t="shared" si="9"/>
        <v>0</v>
      </c>
      <c r="AA23" s="21"/>
      <c r="AC23" s="13"/>
      <c r="AD23" s="22"/>
      <c r="AE23" s="22">
        <v>0</v>
      </c>
      <c r="AF23" s="22"/>
      <c r="AG23" s="22">
        <v>0</v>
      </c>
      <c r="AH23" s="22">
        <v>0</v>
      </c>
      <c r="AI23" s="22"/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/>
      <c r="AS23" s="22"/>
      <c r="AT23" s="22">
        <v>0</v>
      </c>
      <c r="AU23" s="22">
        <v>0</v>
      </c>
      <c r="AV23" s="22">
        <v>0</v>
      </c>
      <c r="AW23" s="22"/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</row>
    <row r="24" spans="1:70" outlineLevel="1" collapsed="1" x14ac:dyDescent="0.3">
      <c r="A24" s="6"/>
      <c r="B24" s="6"/>
      <c r="C24" s="7" t="s">
        <v>69</v>
      </c>
      <c r="D24" s="8" t="s">
        <v>70</v>
      </c>
      <c r="E24" s="44">
        <v>0</v>
      </c>
      <c r="F24" s="37">
        <f t="shared" si="10"/>
        <v>0</v>
      </c>
      <c r="G24" s="50">
        <f t="shared" si="4"/>
        <v>0</v>
      </c>
      <c r="H24" s="75">
        <f t="shared" si="11"/>
        <v>0</v>
      </c>
      <c r="I24" s="24"/>
      <c r="J24" s="24">
        <f t="shared" si="0"/>
        <v>0</v>
      </c>
      <c r="K24" s="24">
        <f t="shared" si="1"/>
        <v>0</v>
      </c>
      <c r="L24" s="44">
        <f t="shared" si="5"/>
        <v>0</v>
      </c>
      <c r="M24" s="37"/>
      <c r="N24" s="37"/>
      <c r="O24" s="37"/>
      <c r="P24" s="51">
        <f t="shared" si="6"/>
        <v>0</v>
      </c>
      <c r="Q24" s="24"/>
      <c r="R24" s="24">
        <f t="shared" si="2"/>
        <v>0</v>
      </c>
      <c r="S24" s="2">
        <f t="shared" si="7"/>
        <v>0</v>
      </c>
      <c r="T24" s="44">
        <f t="shared" si="8"/>
        <v>0</v>
      </c>
      <c r="U24" s="37"/>
      <c r="V24" s="37"/>
      <c r="W24" s="37"/>
      <c r="X24" s="37"/>
      <c r="Y24" s="37"/>
      <c r="Z24" s="51">
        <f t="shared" si="9"/>
        <v>0</v>
      </c>
      <c r="AA24" s="24"/>
      <c r="AB24" s="5"/>
      <c r="AC24" s="1"/>
      <c r="AD24" s="23"/>
      <c r="AE24" s="23">
        <v>0</v>
      </c>
      <c r="AF24" s="23"/>
      <c r="AG24" s="23">
        <v>0</v>
      </c>
      <c r="AH24" s="23"/>
      <c r="AI24" s="23"/>
      <c r="AJ24" s="23">
        <v>0</v>
      </c>
      <c r="AK24" s="23"/>
      <c r="AL24" s="23">
        <v>0</v>
      </c>
      <c r="AM24" s="23"/>
      <c r="AN24" s="23"/>
      <c r="AO24" s="23"/>
      <c r="AP24" s="23"/>
      <c r="AQ24" s="23">
        <v>0</v>
      </c>
      <c r="AR24" s="23"/>
      <c r="AS24" s="23"/>
      <c r="AT24" s="23">
        <v>0</v>
      </c>
      <c r="AU24" s="23"/>
      <c r="AV24" s="23"/>
      <c r="AW24" s="23"/>
      <c r="AX24" s="23">
        <v>0</v>
      </c>
      <c r="AY24" s="23"/>
      <c r="AZ24" s="23">
        <v>0</v>
      </c>
      <c r="BA24" s="23"/>
      <c r="BB24" s="23">
        <v>0</v>
      </c>
      <c r="BC24" s="23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outlineLevel="1" collapsed="1" x14ac:dyDescent="0.3">
      <c r="A25" s="9"/>
      <c r="B25" s="9"/>
      <c r="C25" s="10" t="s">
        <v>71</v>
      </c>
      <c r="D25" s="11" t="s">
        <v>72</v>
      </c>
      <c r="E25" s="44">
        <v>0</v>
      </c>
      <c r="F25" s="37">
        <f t="shared" si="10"/>
        <v>0</v>
      </c>
      <c r="G25" s="50">
        <f t="shared" si="4"/>
        <v>0</v>
      </c>
      <c r="H25" s="75">
        <f t="shared" si="11"/>
        <v>0</v>
      </c>
      <c r="I25" s="24"/>
      <c r="J25" s="24">
        <f t="shared" si="0"/>
        <v>0</v>
      </c>
      <c r="K25" s="24">
        <f t="shared" si="1"/>
        <v>0</v>
      </c>
      <c r="L25" s="44">
        <f t="shared" si="5"/>
        <v>0</v>
      </c>
      <c r="M25" s="37"/>
      <c r="N25" s="37"/>
      <c r="O25" s="37"/>
      <c r="P25" s="51">
        <f t="shared" si="6"/>
        <v>0</v>
      </c>
      <c r="Q25" s="24"/>
      <c r="R25" s="24">
        <f t="shared" si="2"/>
        <v>0</v>
      </c>
      <c r="S25" s="2">
        <f t="shared" si="7"/>
        <v>0</v>
      </c>
      <c r="T25" s="44">
        <f t="shared" si="8"/>
        <v>0</v>
      </c>
      <c r="U25" s="37"/>
      <c r="V25" s="37"/>
      <c r="W25" s="37"/>
      <c r="X25" s="37"/>
      <c r="Y25" s="37"/>
      <c r="Z25" s="51">
        <f t="shared" si="9"/>
        <v>0</v>
      </c>
      <c r="AA25" s="24"/>
      <c r="AB25" s="5"/>
      <c r="AC25" s="1"/>
      <c r="AD25" s="23"/>
      <c r="AE25" s="23"/>
      <c r="AF25" s="23"/>
      <c r="AG25" s="23"/>
      <c r="AH25" s="23"/>
      <c r="AI25" s="23"/>
      <c r="AJ25" s="23"/>
      <c r="AK25" s="23">
        <v>0</v>
      </c>
      <c r="AL25" s="23"/>
      <c r="AM25" s="23"/>
      <c r="AN25" s="23">
        <v>0</v>
      </c>
      <c r="AO25" s="23"/>
      <c r="AP25" s="23"/>
      <c r="AQ25" s="23"/>
      <c r="AR25" s="23"/>
      <c r="AS25" s="23"/>
      <c r="AT25" s="23"/>
      <c r="AU25" s="23"/>
      <c r="AV25" s="23">
        <v>0</v>
      </c>
      <c r="AW25" s="23"/>
      <c r="AX25" s="23"/>
      <c r="AY25" s="23"/>
      <c r="AZ25" s="23"/>
      <c r="BA25" s="23"/>
      <c r="BB25" s="23"/>
      <c r="BC25" s="23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outlineLevel="1" collapsed="1" x14ac:dyDescent="0.3">
      <c r="A26" s="6"/>
      <c r="B26" s="6"/>
      <c r="C26" s="7" t="s">
        <v>73</v>
      </c>
      <c r="D26" s="8" t="s">
        <v>74</v>
      </c>
      <c r="E26" s="44">
        <v>0</v>
      </c>
      <c r="F26" s="37">
        <f t="shared" si="10"/>
        <v>0</v>
      </c>
      <c r="G26" s="50">
        <f t="shared" si="4"/>
        <v>0</v>
      </c>
      <c r="H26" s="75">
        <f t="shared" si="11"/>
        <v>0</v>
      </c>
      <c r="I26" s="24"/>
      <c r="J26" s="24">
        <f t="shared" si="0"/>
        <v>0</v>
      </c>
      <c r="K26" s="24">
        <f t="shared" si="1"/>
        <v>0</v>
      </c>
      <c r="L26" s="44">
        <f t="shared" si="5"/>
        <v>0</v>
      </c>
      <c r="M26" s="37"/>
      <c r="N26" s="37"/>
      <c r="O26" s="37"/>
      <c r="P26" s="51">
        <f t="shared" si="6"/>
        <v>0</v>
      </c>
      <c r="Q26" s="24"/>
      <c r="R26" s="24">
        <f t="shared" si="2"/>
        <v>0</v>
      </c>
      <c r="S26" s="2">
        <f t="shared" si="7"/>
        <v>0</v>
      </c>
      <c r="T26" s="44">
        <f t="shared" si="8"/>
        <v>0</v>
      </c>
      <c r="U26" s="37"/>
      <c r="V26" s="37"/>
      <c r="W26" s="37"/>
      <c r="X26" s="37"/>
      <c r="Y26" s="37"/>
      <c r="Z26" s="51">
        <f t="shared" si="9"/>
        <v>0</v>
      </c>
      <c r="AA26" s="24"/>
      <c r="AB26" s="5"/>
      <c r="AC26" s="1"/>
      <c r="AD26" s="23"/>
      <c r="AE26" s="23">
        <v>0</v>
      </c>
      <c r="AF26" s="23"/>
      <c r="AG26" s="23"/>
      <c r="AH26" s="23">
        <v>0</v>
      </c>
      <c r="AI26" s="23"/>
      <c r="AJ26" s="23"/>
      <c r="AK26" s="23">
        <v>0</v>
      </c>
      <c r="AL26" s="23"/>
      <c r="AM26" s="23">
        <v>0</v>
      </c>
      <c r="AN26" s="23"/>
      <c r="AO26" s="23">
        <v>0</v>
      </c>
      <c r="AP26" s="23">
        <v>0</v>
      </c>
      <c r="AQ26" s="23"/>
      <c r="AR26" s="23"/>
      <c r="AS26" s="23"/>
      <c r="AT26" s="23"/>
      <c r="AU26" s="23">
        <v>0</v>
      </c>
      <c r="AV26" s="23">
        <v>0</v>
      </c>
      <c r="AW26" s="23"/>
      <c r="AX26" s="23">
        <v>0</v>
      </c>
      <c r="AY26" s="23">
        <v>0</v>
      </c>
      <c r="AZ26" s="23"/>
      <c r="BA26" s="23">
        <v>0</v>
      </c>
      <c r="BB26" s="23"/>
      <c r="BC26" s="23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outlineLevel="1" collapsed="1" x14ac:dyDescent="0.3">
      <c r="A27" s="9"/>
      <c r="B27" s="9"/>
      <c r="C27" s="10" t="s">
        <v>75</v>
      </c>
      <c r="D27" s="11" t="s">
        <v>76</v>
      </c>
      <c r="E27" s="44">
        <v>0</v>
      </c>
      <c r="F27" s="37">
        <f t="shared" si="10"/>
        <v>0</v>
      </c>
      <c r="G27" s="50">
        <f t="shared" si="4"/>
        <v>0</v>
      </c>
      <c r="H27" s="75">
        <f t="shared" si="11"/>
        <v>0</v>
      </c>
      <c r="I27" s="24"/>
      <c r="J27" s="24">
        <f t="shared" si="0"/>
        <v>0</v>
      </c>
      <c r="K27" s="24">
        <f t="shared" si="1"/>
        <v>0</v>
      </c>
      <c r="L27" s="44">
        <f t="shared" si="5"/>
        <v>0</v>
      </c>
      <c r="M27" s="37"/>
      <c r="N27" s="37"/>
      <c r="O27" s="37"/>
      <c r="P27" s="51">
        <f t="shared" si="6"/>
        <v>0</v>
      </c>
      <c r="Q27" s="24"/>
      <c r="R27" s="24">
        <f t="shared" si="2"/>
        <v>0</v>
      </c>
      <c r="S27" s="2">
        <f t="shared" si="7"/>
        <v>0</v>
      </c>
      <c r="T27" s="44">
        <f t="shared" si="8"/>
        <v>0</v>
      </c>
      <c r="U27" s="37"/>
      <c r="V27" s="37"/>
      <c r="W27" s="37"/>
      <c r="X27" s="37"/>
      <c r="Y27" s="37"/>
      <c r="Z27" s="51">
        <f t="shared" si="9"/>
        <v>0</v>
      </c>
      <c r="AA27" s="24"/>
      <c r="AB27" s="5"/>
      <c r="AC27" s="1"/>
      <c r="AD27" s="23"/>
      <c r="AE27" s="23"/>
      <c r="AF27" s="23"/>
      <c r="AG27" s="23"/>
      <c r="AH27" s="23"/>
      <c r="AI27" s="23"/>
      <c r="AJ27" s="23"/>
      <c r="AK27" s="23">
        <v>0</v>
      </c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</row>
    <row r="28" spans="1:70" s="14" customFormat="1" ht="13.8" x14ac:dyDescent="0.3">
      <c r="A28" s="27" t="s">
        <v>77</v>
      </c>
      <c r="B28" s="28" t="s">
        <v>78</v>
      </c>
      <c r="C28" s="27"/>
      <c r="D28" s="29"/>
      <c r="E28" s="43">
        <v>-798.45</v>
      </c>
      <c r="F28" s="36"/>
      <c r="G28" s="50">
        <f t="shared" si="4"/>
        <v>-798.45</v>
      </c>
      <c r="H28" s="75">
        <f>H29+H30</f>
        <v>-798.44999999999982</v>
      </c>
      <c r="I28" s="21"/>
      <c r="J28" s="21">
        <f t="shared" si="0"/>
        <v>-483.25</v>
      </c>
      <c r="K28" s="21">
        <f t="shared" si="1"/>
        <v>2.0000000000000049</v>
      </c>
      <c r="L28" s="43">
        <f t="shared" si="5"/>
        <v>-481.25</v>
      </c>
      <c r="M28" s="36"/>
      <c r="N28" s="36"/>
      <c r="O28" s="36"/>
      <c r="P28" s="50">
        <f t="shared" si="6"/>
        <v>-481.25</v>
      </c>
      <c r="Q28" s="21"/>
      <c r="R28" s="21">
        <f t="shared" si="2"/>
        <v>-315.2</v>
      </c>
      <c r="S28" s="20">
        <f t="shared" si="7"/>
        <v>-2.0000000000000049</v>
      </c>
      <c r="T28" s="43">
        <f t="shared" si="8"/>
        <v>-317.2</v>
      </c>
      <c r="U28" s="36"/>
      <c r="V28" s="36"/>
      <c r="W28" s="36"/>
      <c r="X28" s="36"/>
      <c r="Y28" s="36"/>
      <c r="Z28" s="50">
        <f t="shared" si="9"/>
        <v>-317.2</v>
      </c>
      <c r="AA28" s="21"/>
      <c r="AC28" s="13"/>
      <c r="AD28" s="22">
        <f>SUBTOTAL(9,AD29:AD30)</f>
        <v>0</v>
      </c>
      <c r="AE28" s="22">
        <f t="shared" ref="AE28:BC28" si="19">SUBTOTAL(9,AE29:AE30)</f>
        <v>4.0000000000000098</v>
      </c>
      <c r="AF28" s="22">
        <f t="shared" si="19"/>
        <v>0</v>
      </c>
      <c r="AG28" s="22">
        <f t="shared" si="19"/>
        <v>-337.2</v>
      </c>
      <c r="AH28" s="22">
        <f t="shared" si="19"/>
        <v>18</v>
      </c>
      <c r="AI28" s="22">
        <f t="shared" si="19"/>
        <v>0</v>
      </c>
      <c r="AJ28" s="22">
        <f t="shared" si="19"/>
        <v>1.2</v>
      </c>
      <c r="AK28" s="22">
        <f t="shared" si="19"/>
        <v>-171.5</v>
      </c>
      <c r="AL28" s="22">
        <f t="shared" si="19"/>
        <v>-96.9</v>
      </c>
      <c r="AM28" s="22">
        <f t="shared" si="19"/>
        <v>22.1</v>
      </c>
      <c r="AN28" s="22">
        <f t="shared" si="19"/>
        <v>1</v>
      </c>
      <c r="AO28" s="22">
        <f t="shared" si="19"/>
        <v>-60</v>
      </c>
      <c r="AP28" s="22">
        <f t="shared" si="19"/>
        <v>-69.199999999999989</v>
      </c>
      <c r="AQ28" s="22">
        <f t="shared" si="19"/>
        <v>1</v>
      </c>
      <c r="AR28" s="22">
        <f t="shared" si="19"/>
        <v>0</v>
      </c>
      <c r="AS28" s="22">
        <f t="shared" si="19"/>
        <v>0</v>
      </c>
      <c r="AT28" s="22">
        <f t="shared" si="19"/>
        <v>1</v>
      </c>
      <c r="AU28" s="22">
        <f t="shared" si="19"/>
        <v>1.3</v>
      </c>
      <c r="AV28" s="22">
        <f t="shared" si="19"/>
        <v>6.5</v>
      </c>
      <c r="AW28" s="22">
        <f t="shared" si="19"/>
        <v>1.5</v>
      </c>
      <c r="AX28" s="22">
        <f t="shared" si="19"/>
        <v>-40.899999999999991</v>
      </c>
      <c r="AY28" s="22">
        <f t="shared" si="19"/>
        <v>11.2</v>
      </c>
      <c r="AZ28" s="22">
        <f t="shared" si="19"/>
        <v>-18.3</v>
      </c>
      <c r="BA28" s="22">
        <f t="shared" si="19"/>
        <v>0.25</v>
      </c>
      <c r="BB28" s="22">
        <f t="shared" si="19"/>
        <v>-73.5</v>
      </c>
      <c r="BC28" s="22">
        <f t="shared" si="19"/>
        <v>0</v>
      </c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</row>
    <row r="29" spans="1:70" outlineLevel="1" collapsed="1" x14ac:dyDescent="0.3">
      <c r="A29" s="6"/>
      <c r="B29" s="6"/>
      <c r="C29" s="7" t="s">
        <v>79</v>
      </c>
      <c r="D29" s="8" t="s">
        <v>80</v>
      </c>
      <c r="E29" s="44">
        <v>93.950000000000102</v>
      </c>
      <c r="F29" s="37">
        <f t="shared" si="10"/>
        <v>0</v>
      </c>
      <c r="G29" s="51">
        <f t="shared" si="4"/>
        <v>93.950000000000102</v>
      </c>
      <c r="H29" s="78">
        <f t="shared" si="11"/>
        <v>93.950000000000102</v>
      </c>
      <c r="I29" s="24"/>
      <c r="J29" s="24">
        <f t="shared" si="0"/>
        <v>71.95</v>
      </c>
      <c r="K29" s="24">
        <f t="shared" si="1"/>
        <v>2.0000000000000049</v>
      </c>
      <c r="L29" s="44">
        <f t="shared" si="5"/>
        <v>73.95</v>
      </c>
      <c r="M29" s="37"/>
      <c r="N29" s="37"/>
      <c r="O29" s="37"/>
      <c r="P29" s="51">
        <f t="shared" si="6"/>
        <v>73.95</v>
      </c>
      <c r="Q29" s="24"/>
      <c r="R29" s="24">
        <f t="shared" si="2"/>
        <v>22.000000000000011</v>
      </c>
      <c r="S29" s="2">
        <f t="shared" si="7"/>
        <v>-2.0000000000000049</v>
      </c>
      <c r="T29" s="44">
        <f t="shared" si="8"/>
        <v>20.000000000000007</v>
      </c>
      <c r="U29" s="37"/>
      <c r="V29" s="37"/>
      <c r="W29" s="37"/>
      <c r="X29" s="37"/>
      <c r="Y29" s="37"/>
      <c r="Z29" s="51">
        <f t="shared" si="9"/>
        <v>20.000000000000007</v>
      </c>
      <c r="AA29" s="24"/>
      <c r="AB29" s="5"/>
      <c r="AC29" s="1"/>
      <c r="AD29" s="23"/>
      <c r="AE29" s="23">
        <v>4.0000000000000098</v>
      </c>
      <c r="AF29" s="23">
        <v>0</v>
      </c>
      <c r="AG29" s="23">
        <v>0</v>
      </c>
      <c r="AH29" s="23">
        <v>18</v>
      </c>
      <c r="AI29" s="23"/>
      <c r="AJ29" s="23">
        <v>1.5</v>
      </c>
      <c r="AK29" s="23">
        <v>10</v>
      </c>
      <c r="AL29" s="23">
        <v>0</v>
      </c>
      <c r="AM29" s="23">
        <v>22.1</v>
      </c>
      <c r="AN29" s="23">
        <v>1</v>
      </c>
      <c r="AO29" s="23">
        <v>0</v>
      </c>
      <c r="AP29" s="23">
        <v>3.4</v>
      </c>
      <c r="AQ29" s="23">
        <v>1</v>
      </c>
      <c r="AR29" s="23"/>
      <c r="AS29" s="23"/>
      <c r="AT29" s="23">
        <v>1</v>
      </c>
      <c r="AU29" s="23">
        <v>1.3</v>
      </c>
      <c r="AV29" s="23">
        <v>6.5</v>
      </c>
      <c r="AW29" s="23">
        <v>1.5</v>
      </c>
      <c r="AX29" s="23">
        <v>5.5000000000000098</v>
      </c>
      <c r="AY29" s="23">
        <v>11.2</v>
      </c>
      <c r="AZ29" s="23">
        <v>5.7</v>
      </c>
      <c r="BA29" s="23">
        <v>0.25</v>
      </c>
      <c r="BB29" s="23"/>
      <c r="BC29" s="23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outlineLevel="1" collapsed="1" x14ac:dyDescent="0.3">
      <c r="A30" s="9"/>
      <c r="B30" s="9"/>
      <c r="C30" s="10" t="s">
        <v>81</v>
      </c>
      <c r="D30" s="11" t="s">
        <v>82</v>
      </c>
      <c r="E30" s="44">
        <v>-892.4</v>
      </c>
      <c r="F30" s="37">
        <f t="shared" si="10"/>
        <v>0</v>
      </c>
      <c r="G30" s="51">
        <f t="shared" si="4"/>
        <v>-892.4</v>
      </c>
      <c r="H30" s="78">
        <f t="shared" si="11"/>
        <v>-892.4</v>
      </c>
      <c r="I30" s="24"/>
      <c r="J30" s="24">
        <f t="shared" si="0"/>
        <v>-555.20000000000005</v>
      </c>
      <c r="K30" s="24">
        <f t="shared" si="1"/>
        <v>0</v>
      </c>
      <c r="L30" s="44">
        <f t="shared" si="5"/>
        <v>-555.20000000000005</v>
      </c>
      <c r="M30" s="37"/>
      <c r="N30" s="37"/>
      <c r="O30" s="37"/>
      <c r="P30" s="51">
        <f t="shared" si="6"/>
        <v>-555.20000000000005</v>
      </c>
      <c r="Q30" s="24"/>
      <c r="R30" s="24">
        <f t="shared" si="2"/>
        <v>-337.2</v>
      </c>
      <c r="S30" s="2">
        <f t="shared" si="7"/>
        <v>0</v>
      </c>
      <c r="T30" s="44">
        <f t="shared" si="8"/>
        <v>-337.2</v>
      </c>
      <c r="U30" s="37"/>
      <c r="V30" s="37"/>
      <c r="W30" s="37"/>
      <c r="X30" s="37"/>
      <c r="Y30" s="37"/>
      <c r="Z30" s="51">
        <f t="shared" si="9"/>
        <v>-337.2</v>
      </c>
      <c r="AA30" s="24"/>
      <c r="AB30" s="5"/>
      <c r="AC30" s="1"/>
      <c r="AD30" s="23"/>
      <c r="AE30" s="23">
        <v>0</v>
      </c>
      <c r="AF30" s="23">
        <v>0</v>
      </c>
      <c r="AG30" s="23">
        <v>-337.2</v>
      </c>
      <c r="AH30" s="23">
        <v>0</v>
      </c>
      <c r="AI30" s="23"/>
      <c r="AJ30" s="23">
        <v>-0.3</v>
      </c>
      <c r="AK30" s="23">
        <v>-181.5</v>
      </c>
      <c r="AL30" s="23">
        <v>-96.9</v>
      </c>
      <c r="AM30" s="23">
        <v>0</v>
      </c>
      <c r="AN30" s="23">
        <v>0</v>
      </c>
      <c r="AO30" s="23">
        <v>-60</v>
      </c>
      <c r="AP30" s="23">
        <v>-72.599999999999994</v>
      </c>
      <c r="AQ30" s="23">
        <v>0</v>
      </c>
      <c r="AR30" s="23"/>
      <c r="AS30" s="23"/>
      <c r="AT30" s="23"/>
      <c r="AU30" s="23">
        <v>0</v>
      </c>
      <c r="AV30" s="23">
        <v>0</v>
      </c>
      <c r="AW30" s="23">
        <v>0</v>
      </c>
      <c r="AX30" s="23">
        <v>-46.4</v>
      </c>
      <c r="AY30" s="23">
        <v>0</v>
      </c>
      <c r="AZ30" s="23">
        <v>-24</v>
      </c>
      <c r="BA30" s="23">
        <v>0</v>
      </c>
      <c r="BB30" s="23">
        <v>-73.5</v>
      </c>
      <c r="BC30" s="23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14" customFormat="1" ht="13.8" x14ac:dyDescent="0.3">
      <c r="A31" s="27" t="s">
        <v>83</v>
      </c>
      <c r="B31" s="28" t="s">
        <v>84</v>
      </c>
      <c r="C31" s="27"/>
      <c r="D31" s="29"/>
      <c r="E31" s="43">
        <v>0</v>
      </c>
      <c r="F31" s="37">
        <f t="shared" si="10"/>
        <v>0</v>
      </c>
      <c r="G31" s="50">
        <f t="shared" si="4"/>
        <v>0</v>
      </c>
      <c r="H31" s="75">
        <f t="shared" si="11"/>
        <v>0</v>
      </c>
      <c r="I31" s="21"/>
      <c r="J31" s="21">
        <f t="shared" si="0"/>
        <v>0</v>
      </c>
      <c r="K31" s="21">
        <f t="shared" si="1"/>
        <v>0</v>
      </c>
      <c r="L31" s="43">
        <f t="shared" si="5"/>
        <v>0</v>
      </c>
      <c r="M31" s="36"/>
      <c r="N31" s="36"/>
      <c r="O31" s="36"/>
      <c r="P31" s="50">
        <f t="shared" si="6"/>
        <v>0</v>
      </c>
      <c r="Q31" s="21"/>
      <c r="R31" s="21">
        <f t="shared" si="2"/>
        <v>0</v>
      </c>
      <c r="S31" s="20">
        <f t="shared" si="7"/>
        <v>0</v>
      </c>
      <c r="T31" s="43">
        <f t="shared" si="8"/>
        <v>0</v>
      </c>
      <c r="U31" s="36"/>
      <c r="V31" s="36"/>
      <c r="W31" s="36"/>
      <c r="X31" s="36"/>
      <c r="Y31" s="36"/>
      <c r="Z31" s="50">
        <f t="shared" si="9"/>
        <v>0</v>
      </c>
      <c r="AA31" s="21"/>
      <c r="AC31" s="13"/>
      <c r="AD31" s="22"/>
      <c r="AE31" s="22"/>
      <c r="AF31" s="22">
        <v>0</v>
      </c>
      <c r="AG31" s="22">
        <v>0</v>
      </c>
      <c r="AH31" s="22">
        <v>0</v>
      </c>
      <c r="AI31" s="22"/>
      <c r="AJ31" s="22"/>
      <c r="AK31" s="22"/>
      <c r="AL31" s="22">
        <v>0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>
        <v>0</v>
      </c>
      <c r="AY31" s="22"/>
      <c r="AZ31" s="22"/>
      <c r="BA31" s="22"/>
      <c r="BB31" s="22"/>
      <c r="BC31" s="22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</row>
    <row r="32" spans="1:70" ht="15" outlineLevel="1" collapsed="1" thickBot="1" x14ac:dyDescent="0.35">
      <c r="A32" s="6"/>
      <c r="B32" s="6"/>
      <c r="C32" s="7" t="s">
        <v>85</v>
      </c>
      <c r="D32" s="8" t="s">
        <v>86</v>
      </c>
      <c r="E32" s="44">
        <v>0</v>
      </c>
      <c r="F32" s="37">
        <f t="shared" si="10"/>
        <v>0</v>
      </c>
      <c r="G32" s="50">
        <f t="shared" si="4"/>
        <v>0</v>
      </c>
      <c r="H32" s="75">
        <f t="shared" si="11"/>
        <v>0</v>
      </c>
      <c r="I32" s="24"/>
      <c r="J32" s="24">
        <f t="shared" si="0"/>
        <v>0</v>
      </c>
      <c r="K32" s="24">
        <f t="shared" si="1"/>
        <v>0</v>
      </c>
      <c r="L32" s="44">
        <f t="shared" si="5"/>
        <v>0</v>
      </c>
      <c r="M32" s="37"/>
      <c r="N32" s="37"/>
      <c r="O32" s="37"/>
      <c r="P32" s="51">
        <f t="shared" si="6"/>
        <v>0</v>
      </c>
      <c r="Q32" s="24"/>
      <c r="R32" s="24">
        <f t="shared" si="2"/>
        <v>0</v>
      </c>
      <c r="S32" s="2">
        <f t="shared" si="7"/>
        <v>0</v>
      </c>
      <c r="T32" s="44">
        <f t="shared" si="8"/>
        <v>0</v>
      </c>
      <c r="U32" s="37"/>
      <c r="V32" s="37"/>
      <c r="W32" s="37"/>
      <c r="X32" s="37"/>
      <c r="Y32" s="37"/>
      <c r="Z32" s="51">
        <f t="shared" si="9"/>
        <v>0</v>
      </c>
      <c r="AA32" s="24"/>
      <c r="AB32" s="5"/>
      <c r="AC32" s="1"/>
      <c r="AD32" s="23"/>
      <c r="AE32" s="23"/>
      <c r="AF32" s="23">
        <v>0</v>
      </c>
      <c r="AG32" s="23">
        <v>0</v>
      </c>
      <c r="AH32" s="23">
        <v>0</v>
      </c>
      <c r="AI32" s="23"/>
      <c r="AJ32" s="23"/>
      <c r="AK32" s="23"/>
      <c r="AL32" s="23">
        <v>0</v>
      </c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>
        <v>0</v>
      </c>
      <c r="AY32" s="23"/>
      <c r="AZ32" s="23"/>
      <c r="BA32" s="23"/>
      <c r="BB32" s="23"/>
      <c r="BC32" s="23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</row>
    <row r="33" spans="1:70" s="14" customFormat="1" thickTop="1" x14ac:dyDescent="0.3">
      <c r="A33" s="30"/>
      <c r="B33" s="31"/>
      <c r="C33" s="32"/>
      <c r="D33" s="33"/>
      <c r="E33" s="45">
        <f>E3+E8+E14+E21+E23+E28+E31</f>
        <v>3647.8973488999991</v>
      </c>
      <c r="F33" s="38">
        <f t="shared" ref="F33:G33" si="20">F3+F8+F14+F21+F23+F28+F31</f>
        <v>-1541.7499999999995</v>
      </c>
      <c r="G33" s="52">
        <f t="shared" si="20"/>
        <v>2106.1473489</v>
      </c>
      <c r="H33" s="76">
        <f>H3+H8+H14+H21+H28</f>
        <v>1500.3061509000004</v>
      </c>
      <c r="I33" s="25"/>
      <c r="J33" s="25">
        <f t="shared" ref="J33:M33" si="21">J3+J8+J14+J21+J23+J28+J31</f>
        <v>237.56919800000117</v>
      </c>
      <c r="K33" s="25">
        <f t="shared" si="21"/>
        <v>736.65000000000009</v>
      </c>
      <c r="L33" s="45">
        <f t="shared" si="21"/>
        <v>974.21919800000114</v>
      </c>
      <c r="M33" s="38">
        <f t="shared" si="21"/>
        <v>-245</v>
      </c>
      <c r="N33" s="38">
        <f>N3+N8+N14+N21+N23+N28+N31</f>
        <v>-200</v>
      </c>
      <c r="O33" s="38">
        <f>O3+O8+O14+O21+O23+O28+O31</f>
        <v>-120</v>
      </c>
      <c r="P33" s="52">
        <f t="shared" si="6"/>
        <v>409.21919800000114</v>
      </c>
      <c r="Q33" s="25"/>
      <c r="R33" s="25">
        <f t="shared" si="2"/>
        <v>2846.1281508999991</v>
      </c>
      <c r="S33" s="25">
        <f t="shared" ref="S33" si="22">S3+S8+S14+S21+S23+S28+S31</f>
        <v>-736.65000000000009</v>
      </c>
      <c r="T33" s="45">
        <f t="shared" si="8"/>
        <v>2109.478150899999</v>
      </c>
      <c r="U33" s="38">
        <f t="shared" ref="U33:Y33" si="23">U3+U8+U14+U21+U23+U28+U31</f>
        <v>-511.74999999999949</v>
      </c>
      <c r="V33" s="38">
        <f t="shared" si="23"/>
        <v>-105</v>
      </c>
      <c r="W33" s="38">
        <f t="shared" si="23"/>
        <v>-125</v>
      </c>
      <c r="X33" s="38">
        <f t="shared" si="23"/>
        <v>-90</v>
      </c>
      <c r="Y33" s="38">
        <f t="shared" si="23"/>
        <v>-145</v>
      </c>
      <c r="Z33" s="52">
        <f t="shared" si="9"/>
        <v>1132.7281508999995</v>
      </c>
      <c r="AA33" s="25"/>
      <c r="AC33" s="13"/>
      <c r="AD33" s="26">
        <f>SUBTOTAL(9,AD3:AD32)</f>
        <v>1168.4999999999991</v>
      </c>
      <c r="AE33" s="26">
        <f t="shared" ref="AE33:BC33" si="24">SUBTOTAL(9,AE3:AE32)</f>
        <v>1473.3000000000002</v>
      </c>
      <c r="AF33" s="26">
        <f t="shared" si="24"/>
        <v>324.41999999999996</v>
      </c>
      <c r="AG33" s="26">
        <f t="shared" si="24"/>
        <v>491.59999999999997</v>
      </c>
      <c r="AH33" s="26">
        <f t="shared" si="24"/>
        <v>-611.69184910000013</v>
      </c>
      <c r="AI33" s="26">
        <f t="shared" si="24"/>
        <v>0</v>
      </c>
      <c r="AJ33" s="26">
        <f t="shared" si="24"/>
        <v>-17.039999999999988</v>
      </c>
      <c r="AK33" s="26">
        <f t="shared" si="24"/>
        <v>79.70599999999996</v>
      </c>
      <c r="AL33" s="26">
        <f t="shared" si="24"/>
        <v>0.95399999999995089</v>
      </c>
      <c r="AM33" s="26">
        <f t="shared" si="24"/>
        <v>-68.805999999999926</v>
      </c>
      <c r="AN33" s="26">
        <f t="shared" si="24"/>
        <v>-3.6899999999999098</v>
      </c>
      <c r="AO33" s="26">
        <f t="shared" si="24"/>
        <v>-21</v>
      </c>
      <c r="AP33" s="26">
        <f t="shared" si="24"/>
        <v>100.91000000000005</v>
      </c>
      <c r="AQ33" s="26">
        <f t="shared" si="24"/>
        <v>30.755000000000027</v>
      </c>
      <c r="AR33" s="26">
        <f t="shared" si="24"/>
        <v>30.200000000000003</v>
      </c>
      <c r="AS33" s="26">
        <f t="shared" si="24"/>
        <v>62.2</v>
      </c>
      <c r="AT33" s="26">
        <f t="shared" si="24"/>
        <v>-26.400000000000013</v>
      </c>
      <c r="AU33" s="26">
        <f t="shared" si="24"/>
        <v>-27.340000000000003</v>
      </c>
      <c r="AV33" s="26">
        <f t="shared" si="24"/>
        <v>6.1200000000000383</v>
      </c>
      <c r="AW33" s="26">
        <f t="shared" si="24"/>
        <v>85.75</v>
      </c>
      <c r="AX33" s="26">
        <f t="shared" si="24"/>
        <v>-9.0498019999999499</v>
      </c>
      <c r="AY33" s="26">
        <f t="shared" si="24"/>
        <v>-27.844999999999867</v>
      </c>
      <c r="AZ33" s="26">
        <f t="shared" si="24"/>
        <v>21.060000000000024</v>
      </c>
      <c r="BA33" s="26">
        <f t="shared" si="24"/>
        <v>18.585000000000008</v>
      </c>
      <c r="BB33" s="26">
        <f t="shared" si="24"/>
        <v>2.4999999999999858</v>
      </c>
      <c r="BC33" s="26">
        <f t="shared" si="24"/>
        <v>0</v>
      </c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</row>
    <row r="34" spans="1:70" s="72" customFormat="1" ht="13.8" x14ac:dyDescent="0.3">
      <c r="A34" s="66"/>
      <c r="B34" s="66"/>
      <c r="C34" s="66"/>
      <c r="D34" s="66"/>
      <c r="E34" s="65" t="str">
        <f>IF(E33&lt;0,"positief","negatief")</f>
        <v>negatief</v>
      </c>
      <c r="F34" s="68" t="str">
        <f t="shared" ref="F34" si="25">IF(F33&lt;0,"positief","negatief")</f>
        <v>positief</v>
      </c>
      <c r="G34" s="69" t="str">
        <f>IF(G33&lt;0,"positief","negatief")</f>
        <v>negatief</v>
      </c>
      <c r="H34" s="77" t="str">
        <f t="shared" si="11"/>
        <v>negatief</v>
      </c>
      <c r="I34" s="67"/>
      <c r="J34" s="67" t="str">
        <f t="shared" ref="J34:BC34" si="26">IF(J33&lt;0,"positief","negatief")</f>
        <v>negatief</v>
      </c>
      <c r="K34" s="67" t="str">
        <f t="shared" si="26"/>
        <v>negatief</v>
      </c>
      <c r="L34" s="65" t="str">
        <f t="shared" si="26"/>
        <v>negatief</v>
      </c>
      <c r="M34" s="68" t="str">
        <f t="shared" si="26"/>
        <v>positief</v>
      </c>
      <c r="N34" s="68" t="str">
        <f t="shared" si="26"/>
        <v>positief</v>
      </c>
      <c r="O34" s="68" t="str">
        <f t="shared" si="26"/>
        <v>positief</v>
      </c>
      <c r="P34" s="69" t="str">
        <f t="shared" si="26"/>
        <v>negatief</v>
      </c>
      <c r="Q34" s="67" t="str">
        <f t="shared" si="26"/>
        <v>negatief</v>
      </c>
      <c r="R34" s="67" t="str">
        <f t="shared" si="26"/>
        <v>negatief</v>
      </c>
      <c r="S34" s="67" t="str">
        <f t="shared" si="26"/>
        <v>positief</v>
      </c>
      <c r="T34" s="65" t="str">
        <f t="shared" si="26"/>
        <v>negatief</v>
      </c>
      <c r="U34" s="68" t="str">
        <f t="shared" si="26"/>
        <v>positief</v>
      </c>
      <c r="V34" s="68" t="str">
        <f t="shared" si="26"/>
        <v>positief</v>
      </c>
      <c r="W34" s="68" t="str">
        <f t="shared" si="26"/>
        <v>positief</v>
      </c>
      <c r="X34" s="68" t="str">
        <f t="shared" si="26"/>
        <v>positief</v>
      </c>
      <c r="Y34" s="68" t="str">
        <f t="shared" si="26"/>
        <v>positief</v>
      </c>
      <c r="Z34" s="69" t="str">
        <f t="shared" si="26"/>
        <v>negatief</v>
      </c>
      <c r="AA34" s="67"/>
      <c r="AC34" s="70"/>
      <c r="AD34" s="71" t="str">
        <f t="shared" si="26"/>
        <v>negatief</v>
      </c>
      <c r="AE34" s="71" t="str">
        <f t="shared" si="26"/>
        <v>negatief</v>
      </c>
      <c r="AF34" s="71" t="str">
        <f t="shared" si="26"/>
        <v>negatief</v>
      </c>
      <c r="AG34" s="71" t="str">
        <f t="shared" si="26"/>
        <v>negatief</v>
      </c>
      <c r="AH34" s="71" t="str">
        <f t="shared" si="26"/>
        <v>positief</v>
      </c>
      <c r="AI34" s="71" t="str">
        <f t="shared" si="26"/>
        <v>negatief</v>
      </c>
      <c r="AJ34" s="71" t="str">
        <f t="shared" si="26"/>
        <v>positief</v>
      </c>
      <c r="AK34" s="71" t="str">
        <f t="shared" si="26"/>
        <v>negatief</v>
      </c>
      <c r="AL34" s="71" t="str">
        <f t="shared" si="26"/>
        <v>negatief</v>
      </c>
      <c r="AM34" s="71" t="str">
        <f t="shared" si="26"/>
        <v>positief</v>
      </c>
      <c r="AN34" s="71" t="str">
        <f t="shared" si="26"/>
        <v>positief</v>
      </c>
      <c r="AO34" s="71" t="str">
        <f t="shared" si="26"/>
        <v>positief</v>
      </c>
      <c r="AP34" s="71" t="str">
        <f t="shared" si="26"/>
        <v>negatief</v>
      </c>
      <c r="AQ34" s="71" t="str">
        <f t="shared" si="26"/>
        <v>negatief</v>
      </c>
      <c r="AR34" s="71" t="str">
        <f t="shared" si="26"/>
        <v>negatief</v>
      </c>
      <c r="AS34" s="71" t="str">
        <f t="shared" si="26"/>
        <v>negatief</v>
      </c>
      <c r="AT34" s="71" t="str">
        <f t="shared" si="26"/>
        <v>positief</v>
      </c>
      <c r="AU34" s="71" t="str">
        <f t="shared" si="26"/>
        <v>positief</v>
      </c>
      <c r="AV34" s="71" t="str">
        <f t="shared" si="26"/>
        <v>negatief</v>
      </c>
      <c r="AW34" s="71" t="str">
        <f t="shared" si="26"/>
        <v>negatief</v>
      </c>
      <c r="AX34" s="71" t="str">
        <f t="shared" si="26"/>
        <v>positief</v>
      </c>
      <c r="AY34" s="71" t="str">
        <f t="shared" si="26"/>
        <v>positief</v>
      </c>
      <c r="AZ34" s="71" t="str">
        <f t="shared" si="26"/>
        <v>negatief</v>
      </c>
      <c r="BA34" s="71" t="str">
        <f t="shared" si="26"/>
        <v>negatief</v>
      </c>
      <c r="BB34" s="71" t="str">
        <f t="shared" si="26"/>
        <v>negatief</v>
      </c>
      <c r="BC34" s="71" t="str">
        <f t="shared" si="26"/>
        <v>negatief</v>
      </c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</row>
    <row r="35" spans="1:70" x14ac:dyDescent="0.3">
      <c r="F35" s="15">
        <f>F33-E37</f>
        <v>0</v>
      </c>
      <c r="M35" s="15"/>
      <c r="P35" s="15">
        <f t="shared" si="6"/>
        <v>0</v>
      </c>
      <c r="S35" s="2"/>
      <c r="AC35" s="2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</row>
    <row r="36" spans="1:70" x14ac:dyDescent="0.3">
      <c r="D36" s="46" t="s">
        <v>98</v>
      </c>
      <c r="E36" s="15">
        <f>E33</f>
        <v>3647.8973488999991</v>
      </c>
      <c r="S36" s="2"/>
      <c r="AC36" s="2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</row>
    <row r="37" spans="1:70" x14ac:dyDescent="0.3">
      <c r="D37" s="47" t="s">
        <v>99</v>
      </c>
      <c r="E37" s="15">
        <f>M33+N33+U33+V33+W33+X33+Y33+O33</f>
        <v>-1541.7499999999995</v>
      </c>
      <c r="M37" s="15"/>
      <c r="S37" s="2"/>
      <c r="AC37" s="2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</row>
    <row r="38" spans="1:70" x14ac:dyDescent="0.3">
      <c r="D38" s="48" t="s">
        <v>100</v>
      </c>
      <c r="E38" s="15">
        <f>SUM(E36:E37)</f>
        <v>2106.1473488999995</v>
      </c>
      <c r="M38" s="15"/>
      <c r="S38" s="2"/>
      <c r="AC38" s="2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</row>
    <row r="39" spans="1:70" x14ac:dyDescent="0.3">
      <c r="M39" s="15"/>
      <c r="S39" s="2"/>
      <c r="AC39" s="2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</row>
    <row r="40" spans="1:70" x14ac:dyDescent="0.3">
      <c r="M40" s="15"/>
      <c r="S40" s="2"/>
      <c r="AC40" s="2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</row>
    <row r="41" spans="1:70" x14ac:dyDescent="0.3">
      <c r="M41" s="15"/>
      <c r="S41" s="2"/>
      <c r="AC41" s="2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</row>
    <row r="42" spans="1:70" x14ac:dyDescent="0.3">
      <c r="M42" s="15"/>
      <c r="S42" s="2"/>
      <c r="AC42" s="2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</row>
    <row r="43" spans="1:70" x14ac:dyDescent="0.3">
      <c r="M43" s="15"/>
      <c r="S43" s="2"/>
      <c r="AC43" s="2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</row>
    <row r="44" spans="1:70" x14ac:dyDescent="0.3">
      <c r="M44" s="15"/>
      <c r="S44" s="2"/>
      <c r="AC44" s="2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</row>
    <row r="45" spans="1:70" x14ac:dyDescent="0.3">
      <c r="M45" s="15"/>
      <c r="S45" s="2"/>
      <c r="AC45" s="2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</row>
    <row r="46" spans="1:70" x14ac:dyDescent="0.3">
      <c r="M46" s="15"/>
      <c r="S46" s="2"/>
      <c r="AC46" s="2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4" manualBreakCount="4">
    <brk id="8" max="1048575" man="1"/>
    <brk id="16" max="1048575" man="1"/>
    <brk id="26" max="1048575" man="1"/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871d87-031b-4739-bcc2-011682c1f2d6">
      <Terms xmlns="http://schemas.microsoft.com/office/infopath/2007/PartnerControls"/>
    </lcf76f155ced4ddcb4097134ff3c332f>
    <TaxCatchAll xmlns="91a1acb1-c0c3-4f11-b616-b21c845090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A4AD91EFC1A4DAD9EAF7F04739129" ma:contentTypeVersion="16" ma:contentTypeDescription="Een nieuw document maken." ma:contentTypeScope="" ma:versionID="626e797137322069bd445b3b39cf63cb">
  <xsd:schema xmlns:xsd="http://www.w3.org/2001/XMLSchema" xmlns:xs="http://www.w3.org/2001/XMLSchema" xmlns:p="http://schemas.microsoft.com/office/2006/metadata/properties" xmlns:ns2="f9871d87-031b-4739-bcc2-011682c1f2d6" xmlns:ns3="91a1acb1-c0c3-4f11-b616-b21c845090b9" targetNamespace="http://schemas.microsoft.com/office/2006/metadata/properties" ma:root="true" ma:fieldsID="602b0a7a65ac18f0f7617c120cfd3bea" ns2:_="" ns3:_="">
    <xsd:import namespace="f9871d87-031b-4739-bcc2-011682c1f2d6"/>
    <xsd:import namespace="91a1acb1-c0c3-4f11-b616-b21c84509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871d87-031b-4739-bcc2-011682c1f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47d55a0-2727-4e94-af03-430c22898b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a1acb1-c0c3-4f11-b616-b21c84509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c7cf02-c087-4fe3-bb65-43e42765f60a}" ma:internalName="TaxCatchAll" ma:showField="CatchAllData" ma:web="91a1acb1-c0c3-4f11-b616-b21c84509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64C81-44B8-430E-88AC-6D0225EA396B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f9871d87-031b-4739-bcc2-011682c1f2d6"/>
    <ds:schemaRef ds:uri="http://schemas.microsoft.com/office/2006/metadata/properties"/>
    <ds:schemaRef ds:uri="91a1acb1-c0c3-4f11-b616-b21c845090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C013E8-F23F-4BC9-8578-8655A703E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871d87-031b-4739-bcc2-011682c1f2d6"/>
    <ds:schemaRef ds:uri="91a1acb1-c0c3-4f11-b616-b21c84509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37CF49-3B67-44DE-835E-D485F8DDBD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Totaal</vt:lpstr>
      <vt:lpstr>Totaal!Afdruktitels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Geluk</dc:creator>
  <dc:description>Exported by Sumatra 2020 5.1.8584</dc:description>
  <cp:lastModifiedBy>Suzanne Geluk</cp:lastModifiedBy>
  <cp:lastPrinted>2022-11-23T15:26:47Z</cp:lastPrinted>
  <dcterms:created xsi:type="dcterms:W3CDTF">2022-11-11T10:13:02Z</dcterms:created>
  <dcterms:modified xsi:type="dcterms:W3CDTF">2023-01-24T15:36:58Z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0x010100C29A4AD91EFC1A4DAD9EAF7F04739129</vt:lpwstr>
  </property>
</Properties>
</file>